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lucde\stack\00. Biobased Housing Solutions\4. Verkoop\Prijzen\"/>
    </mc:Choice>
  </mc:AlternateContent>
  <xr:revisionPtr revIDLastSave="0" documentId="13_ncr:1_{CDB822B2-EA4C-42D9-8805-23C98BC50958}" xr6:coauthVersionLast="47" xr6:coauthVersionMax="47" xr10:uidLastSave="{00000000-0000-0000-0000-000000000000}"/>
  <bookViews>
    <workbookView xWindow="38280" yWindow="-120" windowWidth="29040" windowHeight="15720" activeTab="1" xr2:uid="{00000000-000D-0000-FFFF-FFFF00000000}"/>
  </bookViews>
  <sheets>
    <sheet name="Uitleg" sheetId="1" r:id="rId1"/>
    <sheet name="Inputs" sheetId="2" r:id="rId2"/>
    <sheet name="Model"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 l="1"/>
  <c r="V54" i="3"/>
  <c r="U54" i="3"/>
  <c r="T54" i="3"/>
  <c r="S54" i="3"/>
  <c r="R54" i="3"/>
  <c r="Q54" i="3"/>
  <c r="P54" i="3"/>
  <c r="L54" i="3"/>
  <c r="E54" i="3"/>
  <c r="V53" i="3"/>
  <c r="U53" i="3"/>
  <c r="T53" i="3"/>
  <c r="S53" i="3"/>
  <c r="R53" i="3"/>
  <c r="Q53" i="3"/>
  <c r="P53" i="3"/>
  <c r="L53" i="3"/>
  <c r="E53" i="3"/>
  <c r="V52" i="3"/>
  <c r="U52" i="3"/>
  <c r="T52" i="3"/>
  <c r="S52" i="3"/>
  <c r="R52" i="3"/>
  <c r="Q52" i="3"/>
  <c r="P52" i="3"/>
  <c r="L52" i="3"/>
  <c r="E52" i="3"/>
  <c r="V51" i="3"/>
  <c r="U51" i="3"/>
  <c r="T51" i="3"/>
  <c r="S51" i="3"/>
  <c r="R51" i="3"/>
  <c r="Q51" i="3"/>
  <c r="P51" i="3"/>
  <c r="L51" i="3"/>
  <c r="E51" i="3"/>
  <c r="V50" i="3"/>
  <c r="U50" i="3"/>
  <c r="T50" i="3"/>
  <c r="S50" i="3"/>
  <c r="R50" i="3"/>
  <c r="Q50" i="3"/>
  <c r="P50" i="3"/>
  <c r="L50" i="3"/>
  <c r="E50" i="3"/>
  <c r="V49" i="3"/>
  <c r="U49" i="3"/>
  <c r="T49" i="3"/>
  <c r="S49" i="3"/>
  <c r="R49" i="3"/>
  <c r="Q49" i="3"/>
  <c r="P49" i="3"/>
  <c r="L49" i="3"/>
  <c r="E49" i="3"/>
  <c r="V48" i="3"/>
  <c r="U48" i="3"/>
  <c r="T48" i="3"/>
  <c r="S48" i="3"/>
  <c r="R48" i="3"/>
  <c r="Q48" i="3"/>
  <c r="P48" i="3"/>
  <c r="L48" i="3"/>
  <c r="E48" i="3"/>
  <c r="V47" i="3"/>
  <c r="U47" i="3"/>
  <c r="T47" i="3"/>
  <c r="S47" i="3"/>
  <c r="R47" i="3"/>
  <c r="Q47" i="3"/>
  <c r="Y47" i="3" s="1"/>
  <c r="P47" i="3"/>
  <c r="L47" i="3"/>
  <c r="E47" i="3"/>
  <c r="V46" i="3"/>
  <c r="U46" i="3"/>
  <c r="T46" i="3"/>
  <c r="S46" i="3"/>
  <c r="R46" i="3"/>
  <c r="Q46" i="3"/>
  <c r="P46" i="3"/>
  <c r="L46" i="3"/>
  <c r="E46" i="3"/>
  <c r="V45" i="3"/>
  <c r="U45" i="3"/>
  <c r="T45" i="3"/>
  <c r="S45" i="3"/>
  <c r="R45" i="3"/>
  <c r="Q45" i="3"/>
  <c r="P45" i="3"/>
  <c r="L45" i="3"/>
  <c r="E45" i="3"/>
  <c r="V44" i="3"/>
  <c r="U44" i="3"/>
  <c r="T44" i="3"/>
  <c r="S44" i="3"/>
  <c r="R44" i="3"/>
  <c r="Q44" i="3"/>
  <c r="P44" i="3"/>
  <c r="L44" i="3"/>
  <c r="E44" i="3"/>
  <c r="V43" i="3"/>
  <c r="U43" i="3"/>
  <c r="T43" i="3"/>
  <c r="S43" i="3"/>
  <c r="R43" i="3"/>
  <c r="Q43" i="3"/>
  <c r="P43" i="3"/>
  <c r="L43" i="3"/>
  <c r="E43" i="3"/>
  <c r="V42" i="3"/>
  <c r="U42" i="3"/>
  <c r="T42" i="3"/>
  <c r="S42" i="3"/>
  <c r="R42" i="3"/>
  <c r="Q42" i="3"/>
  <c r="P42" i="3"/>
  <c r="L42" i="3"/>
  <c r="E42" i="3"/>
  <c r="V41" i="3"/>
  <c r="U41" i="3"/>
  <c r="T41" i="3"/>
  <c r="S41" i="3"/>
  <c r="R41" i="3"/>
  <c r="Q41" i="3"/>
  <c r="P41" i="3"/>
  <c r="L41" i="3"/>
  <c r="E41" i="3"/>
  <c r="V40" i="3"/>
  <c r="U40" i="3"/>
  <c r="T40" i="3"/>
  <c r="S40" i="3"/>
  <c r="R40" i="3"/>
  <c r="Q40" i="3"/>
  <c r="P40" i="3"/>
  <c r="L40" i="3"/>
  <c r="E40" i="3"/>
  <c r="V39" i="3"/>
  <c r="U39" i="3"/>
  <c r="T39" i="3"/>
  <c r="S39" i="3"/>
  <c r="R39" i="3"/>
  <c r="Q39" i="3"/>
  <c r="P39" i="3"/>
  <c r="L39" i="3"/>
  <c r="E39" i="3"/>
  <c r="V38" i="3"/>
  <c r="U38" i="3"/>
  <c r="T38" i="3"/>
  <c r="S38" i="3"/>
  <c r="R38" i="3"/>
  <c r="Q38" i="3"/>
  <c r="P38" i="3"/>
  <c r="L38" i="3"/>
  <c r="E38" i="3"/>
  <c r="V37" i="3"/>
  <c r="U37" i="3"/>
  <c r="T37" i="3"/>
  <c r="S37" i="3"/>
  <c r="R37" i="3"/>
  <c r="Q37" i="3"/>
  <c r="Y37" i="3" s="1"/>
  <c r="P37" i="3"/>
  <c r="L37" i="3"/>
  <c r="E37" i="3"/>
  <c r="V36" i="3"/>
  <c r="U36" i="3"/>
  <c r="T36" i="3"/>
  <c r="S36" i="3"/>
  <c r="R36" i="3"/>
  <c r="Q36" i="3"/>
  <c r="P36" i="3"/>
  <c r="L36" i="3"/>
  <c r="E36" i="3"/>
  <c r="V35" i="3"/>
  <c r="U35" i="3"/>
  <c r="T35" i="3"/>
  <c r="S35" i="3"/>
  <c r="R35" i="3"/>
  <c r="Q35" i="3"/>
  <c r="P35" i="3"/>
  <c r="L35" i="3"/>
  <c r="E35" i="3"/>
  <c r="P34" i="3"/>
  <c r="L34" i="3"/>
  <c r="E34" i="3"/>
  <c r="V33" i="3"/>
  <c r="U33" i="3"/>
  <c r="P33" i="3"/>
  <c r="L33" i="3"/>
  <c r="E33" i="3"/>
  <c r="V32" i="3"/>
  <c r="U32" i="3"/>
  <c r="P32" i="3"/>
  <c r="L32" i="3"/>
  <c r="E32" i="3"/>
  <c r="V31" i="3"/>
  <c r="U31" i="3"/>
  <c r="P31" i="3"/>
  <c r="L31" i="3"/>
  <c r="E31" i="3"/>
  <c r="V30" i="3"/>
  <c r="U30" i="3"/>
  <c r="P30" i="3"/>
  <c r="L30" i="3"/>
  <c r="E30" i="3"/>
  <c r="V29" i="3"/>
  <c r="U29" i="3"/>
  <c r="P29" i="3"/>
  <c r="L29" i="3"/>
  <c r="E29" i="3"/>
  <c r="V28" i="3"/>
  <c r="U28" i="3"/>
  <c r="P28" i="3"/>
  <c r="L28" i="3"/>
  <c r="E28" i="3"/>
  <c r="V27" i="3"/>
  <c r="U27" i="3"/>
  <c r="P27" i="3"/>
  <c r="L27" i="3"/>
  <c r="E27" i="3"/>
  <c r="V26" i="3"/>
  <c r="U26" i="3"/>
  <c r="P26" i="3"/>
  <c r="L26" i="3"/>
  <c r="E26" i="3"/>
  <c r="V25" i="3"/>
  <c r="U25" i="3"/>
  <c r="P25" i="3"/>
  <c r="L25" i="3"/>
  <c r="E25" i="3"/>
  <c r="P24" i="3"/>
  <c r="L24" i="3"/>
  <c r="E24" i="3"/>
  <c r="V23" i="3"/>
  <c r="U23" i="3"/>
  <c r="P23" i="3"/>
  <c r="L23" i="3"/>
  <c r="E23" i="3"/>
  <c r="V22" i="3"/>
  <c r="U22" i="3"/>
  <c r="P22" i="3"/>
  <c r="L22" i="3"/>
  <c r="E22" i="3"/>
  <c r="V21" i="3"/>
  <c r="U21" i="3"/>
  <c r="P21" i="3"/>
  <c r="L21" i="3"/>
  <c r="E21" i="3"/>
  <c r="V20" i="3"/>
  <c r="U20" i="3"/>
  <c r="P20" i="3"/>
  <c r="L20" i="3"/>
  <c r="E20" i="3"/>
  <c r="V19" i="3"/>
  <c r="U19" i="3"/>
  <c r="P19" i="3"/>
  <c r="L19" i="3"/>
  <c r="E19" i="3"/>
  <c r="V18" i="3"/>
  <c r="U18" i="3"/>
  <c r="P18" i="3"/>
  <c r="L18" i="3"/>
  <c r="E18" i="3"/>
  <c r="V17" i="3"/>
  <c r="U17" i="3"/>
  <c r="P17" i="3"/>
  <c r="L17" i="3"/>
  <c r="E17" i="3"/>
  <c r="V16" i="3"/>
  <c r="U16" i="3"/>
  <c r="P16" i="3"/>
  <c r="L16" i="3"/>
  <c r="E16" i="3"/>
  <c r="V15" i="3"/>
  <c r="U15" i="3"/>
  <c r="P15" i="3"/>
  <c r="L15" i="3"/>
  <c r="E15" i="3"/>
  <c r="V14" i="3"/>
  <c r="U14" i="3"/>
  <c r="P14" i="3"/>
  <c r="L14" i="3"/>
  <c r="E14" i="3"/>
  <c r="V13" i="3"/>
  <c r="U13" i="3"/>
  <c r="P13" i="3"/>
  <c r="L13" i="3"/>
  <c r="E13" i="3"/>
  <c r="V12" i="3"/>
  <c r="U12" i="3"/>
  <c r="P12" i="3"/>
  <c r="L12" i="3"/>
  <c r="E12" i="3"/>
  <c r="V11" i="3"/>
  <c r="U11" i="3"/>
  <c r="P11" i="3"/>
  <c r="L11" i="3"/>
  <c r="E11" i="3"/>
  <c r="V10" i="3"/>
  <c r="U10" i="3"/>
  <c r="P10" i="3"/>
  <c r="L10" i="3"/>
  <c r="E10" i="3"/>
  <c r="V9" i="3"/>
  <c r="U9" i="3"/>
  <c r="P9" i="3"/>
  <c r="L9" i="3"/>
  <c r="E9" i="3"/>
  <c r="V8" i="3"/>
  <c r="U8" i="3"/>
  <c r="P8" i="3"/>
  <c r="L8" i="3"/>
  <c r="E8" i="3"/>
  <c r="V7" i="3"/>
  <c r="U7" i="3"/>
  <c r="P7" i="3"/>
  <c r="L7" i="3"/>
  <c r="E7" i="3"/>
  <c r="V6" i="3"/>
  <c r="U6" i="3"/>
  <c r="P6" i="3"/>
  <c r="L6" i="3"/>
  <c r="E6" i="3"/>
  <c r="V5" i="3"/>
  <c r="U5" i="3"/>
  <c r="P5" i="3"/>
  <c r="L5" i="3"/>
  <c r="E5" i="3"/>
  <c r="V4" i="3"/>
  <c r="U4" i="3"/>
  <c r="P4" i="3"/>
  <c r="L4" i="3"/>
  <c r="E4" i="3"/>
  <c r="E24" i="2"/>
  <c r="V34" i="3" s="1"/>
  <c r="B24" i="2"/>
  <c r="B28" i="2" s="1"/>
  <c r="B17" i="2"/>
  <c r="B12" i="2"/>
  <c r="I51" i="3" s="1"/>
  <c r="B11" i="2"/>
  <c r="K51" i="3" s="1"/>
  <c r="B10" i="2"/>
  <c r="B52" i="3" s="1"/>
  <c r="J52" i="3" s="1"/>
  <c r="U24" i="3" l="1"/>
  <c r="Z44" i="3"/>
  <c r="Y45" i="3"/>
  <c r="Y52" i="3"/>
  <c r="Y48" i="3"/>
  <c r="I9" i="3"/>
  <c r="I32" i="3"/>
  <c r="B37" i="3"/>
  <c r="C37" i="3" s="1"/>
  <c r="Y53" i="3"/>
  <c r="K32" i="3"/>
  <c r="K46" i="3"/>
  <c r="B15" i="3"/>
  <c r="C15" i="3" s="1"/>
  <c r="D18" i="3"/>
  <c r="D27" i="3"/>
  <c r="K4" i="3"/>
  <c r="I30" i="3"/>
  <c r="I10" i="3"/>
  <c r="K30" i="3"/>
  <c r="I54" i="3"/>
  <c r="K10" i="3"/>
  <c r="I13" i="3"/>
  <c r="B25" i="3"/>
  <c r="J25" i="3" s="1"/>
  <c r="I33" i="3"/>
  <c r="K45" i="3"/>
  <c r="K54" i="3"/>
  <c r="K13" i="3"/>
  <c r="D25" i="3"/>
  <c r="K33" i="3"/>
  <c r="I36" i="3"/>
  <c r="Y43" i="3"/>
  <c r="D47" i="3"/>
  <c r="K48" i="3"/>
  <c r="I25" i="3"/>
  <c r="K28" i="3"/>
  <c r="B38" i="3"/>
  <c r="J38" i="3" s="1"/>
  <c r="D49" i="3"/>
  <c r="K25" i="3"/>
  <c r="D31" i="3"/>
  <c r="D38" i="3"/>
  <c r="Z41" i="3"/>
  <c r="I40" i="3"/>
  <c r="I49" i="3"/>
  <c r="D51" i="3"/>
  <c r="B26" i="3"/>
  <c r="J26" i="3" s="1"/>
  <c r="D6" i="3"/>
  <c r="D46" i="3"/>
  <c r="I48" i="3"/>
  <c r="I4" i="3"/>
  <c r="K18" i="3"/>
  <c r="B33" i="3"/>
  <c r="C33" i="3" s="1"/>
  <c r="B43" i="3"/>
  <c r="C43" i="3" s="1"/>
  <c r="B54" i="3"/>
  <c r="J54" i="3" s="1"/>
  <c r="I16" i="3"/>
  <c r="K36" i="3"/>
  <c r="I8" i="3"/>
  <c r="I22" i="3"/>
  <c r="K8" i="3"/>
  <c r="B11" i="3"/>
  <c r="C11" i="3" s="1"/>
  <c r="B14" i="3"/>
  <c r="J14" i="3" s="1"/>
  <c r="B34" i="3"/>
  <c r="J34" i="3" s="1"/>
  <c r="M34" i="3" s="1"/>
  <c r="I38" i="3"/>
  <c r="K40" i="3"/>
  <c r="K49" i="3"/>
  <c r="B53" i="3"/>
  <c r="C53" i="3" s="1"/>
  <c r="B9" i="3"/>
  <c r="K20" i="3"/>
  <c r="D29" i="3"/>
  <c r="B46" i="3"/>
  <c r="J46" i="3" s="1"/>
  <c r="I6" i="3"/>
  <c r="K9" i="3"/>
  <c r="B18" i="3"/>
  <c r="J18" i="3" s="1"/>
  <c r="B21" i="3"/>
  <c r="C21" i="3" s="1"/>
  <c r="K37" i="3"/>
  <c r="D15" i="3"/>
  <c r="D41" i="3"/>
  <c r="D30" i="3"/>
  <c r="B45" i="3"/>
  <c r="J45" i="3" s="1"/>
  <c r="K52" i="3"/>
  <c r="M52" i="3" s="1"/>
  <c r="K41" i="3"/>
  <c r="B49" i="3"/>
  <c r="C49" i="3" s="1"/>
  <c r="F49" i="3" s="1"/>
  <c r="H49" i="3" s="1"/>
  <c r="D14" i="3"/>
  <c r="D42" i="3"/>
  <c r="B6" i="3"/>
  <c r="C6" i="3" s="1"/>
  <c r="I14" i="3"/>
  <c r="B23" i="3"/>
  <c r="C23" i="3" s="1"/>
  <c r="D35" i="3"/>
  <c r="I12" i="3"/>
  <c r="D37" i="3"/>
  <c r="D21" i="3"/>
  <c r="B30" i="3"/>
  <c r="J30" i="3" s="1"/>
  <c r="B50" i="3"/>
  <c r="J50" i="3" s="1"/>
  <c r="I24" i="3"/>
  <c r="I52" i="3"/>
  <c r="B13" i="3"/>
  <c r="J13" i="3" s="1"/>
  <c r="M13" i="3" s="1"/>
  <c r="I21" i="3"/>
  <c r="I41" i="3"/>
  <c r="D13" i="3"/>
  <c r="D33" i="3"/>
  <c r="D45" i="3"/>
  <c r="I28" i="3"/>
  <c r="B5" i="3"/>
  <c r="J5" i="3" s="1"/>
  <c r="K16" i="3"/>
  <c r="K22" i="3"/>
  <c r="B17" i="3"/>
  <c r="J17" i="3" s="1"/>
  <c r="I20" i="3"/>
  <c r="B29" i="3"/>
  <c r="J29" i="3" s="1"/>
  <c r="Z36" i="3"/>
  <c r="K44" i="3"/>
  <c r="I53" i="3"/>
  <c r="U34" i="3"/>
  <c r="K6" i="3"/>
  <c r="D9" i="3"/>
  <c r="D11" i="3"/>
  <c r="I18" i="3"/>
  <c r="D23" i="3"/>
  <c r="B27" i="3"/>
  <c r="C27" i="3" s="1"/>
  <c r="F27" i="3" s="1"/>
  <c r="B35" i="3"/>
  <c r="C35" i="3" s="1"/>
  <c r="F35" i="3" s="1"/>
  <c r="K38" i="3"/>
  <c r="D43" i="3"/>
  <c r="F43" i="3" s="1"/>
  <c r="I46" i="3"/>
  <c r="B51" i="3"/>
  <c r="C51" i="3" s="1"/>
  <c r="D54" i="3"/>
  <c r="B31" i="2"/>
  <c r="B7" i="3"/>
  <c r="C7" i="3" s="1"/>
  <c r="K21" i="3"/>
  <c r="I37" i="3"/>
  <c r="Y40" i="3"/>
  <c r="B42" i="3"/>
  <c r="I45" i="3"/>
  <c r="D53" i="3"/>
  <c r="F53" i="3" s="1"/>
  <c r="H53" i="3" s="1"/>
  <c r="C29" i="3"/>
  <c r="F29" i="3" s="1"/>
  <c r="D5" i="3"/>
  <c r="D7" i="3"/>
  <c r="B19" i="3"/>
  <c r="C19" i="3" s="1"/>
  <c r="I29" i="3"/>
  <c r="Z38" i="3"/>
  <c r="Y51" i="3"/>
  <c r="I5" i="3"/>
  <c r="K12" i="3"/>
  <c r="K14" i="3"/>
  <c r="D17" i="3"/>
  <c r="D19" i="3"/>
  <c r="K24" i="3"/>
  <c r="D26" i="3"/>
  <c r="K29" i="3"/>
  <c r="M29" i="3" s="1"/>
  <c r="D34" i="3"/>
  <c r="D50" i="3"/>
  <c r="B10" i="3"/>
  <c r="B39" i="3"/>
  <c r="C39" i="3" s="1"/>
  <c r="I42" i="3"/>
  <c r="K53" i="3"/>
  <c r="K5" i="3"/>
  <c r="D10" i="3"/>
  <c r="I17" i="3"/>
  <c r="B22" i="3"/>
  <c r="J22" i="3" s="1"/>
  <c r="I26" i="3"/>
  <c r="I34" i="3"/>
  <c r="D39" i="3"/>
  <c r="K42" i="3"/>
  <c r="B47" i="3"/>
  <c r="C47" i="3" s="1"/>
  <c r="I50" i="3"/>
  <c r="C52" i="3"/>
  <c r="K17" i="3"/>
  <c r="D22" i="3"/>
  <c r="K26" i="3"/>
  <c r="B31" i="3"/>
  <c r="C31" i="3" s="1"/>
  <c r="K34" i="3"/>
  <c r="B41" i="3"/>
  <c r="I44" i="3"/>
  <c r="K50" i="3"/>
  <c r="Z37" i="3"/>
  <c r="Y42" i="3"/>
  <c r="Z45" i="3"/>
  <c r="Y39" i="3"/>
  <c r="Y50" i="3"/>
  <c r="Y38" i="3"/>
  <c r="Z46" i="3"/>
  <c r="Z54" i="3"/>
  <c r="Z48" i="3"/>
  <c r="Z53" i="3"/>
  <c r="Y41" i="3"/>
  <c r="Y49" i="3"/>
  <c r="Z52" i="3"/>
  <c r="Z49" i="3"/>
  <c r="Z51" i="3"/>
  <c r="Z50" i="3"/>
  <c r="Z40" i="3"/>
  <c r="Y46" i="3"/>
  <c r="Z43" i="3"/>
  <c r="Y36" i="3"/>
  <c r="Y54" i="3"/>
  <c r="Z39" i="3"/>
  <c r="Y44" i="3"/>
  <c r="Z42" i="3"/>
  <c r="V24" i="3"/>
  <c r="E31" i="2"/>
  <c r="E28" i="2"/>
  <c r="Y35" i="3"/>
  <c r="Z47" i="3"/>
  <c r="Z35" i="3"/>
  <c r="B20" i="3"/>
  <c r="J20" i="3" s="1"/>
  <c r="B12" i="3"/>
  <c r="J12" i="3" s="1"/>
  <c r="B16" i="3"/>
  <c r="J16" i="3" s="1"/>
  <c r="B24" i="3"/>
  <c r="J24" i="3" s="1"/>
  <c r="B40" i="3"/>
  <c r="J40" i="3" s="1"/>
  <c r="D4" i="3"/>
  <c r="I7" i="3"/>
  <c r="D8" i="3"/>
  <c r="I11" i="3"/>
  <c r="D12" i="3"/>
  <c r="I15" i="3"/>
  <c r="D16" i="3"/>
  <c r="I19" i="3"/>
  <c r="D20" i="3"/>
  <c r="I23" i="3"/>
  <c r="D24" i="3"/>
  <c r="I27" i="3"/>
  <c r="D28" i="3"/>
  <c r="I31" i="3"/>
  <c r="D32" i="3"/>
  <c r="I35" i="3"/>
  <c r="D36" i="3"/>
  <c r="I39" i="3"/>
  <c r="D40" i="3"/>
  <c r="I43" i="3"/>
  <c r="D44" i="3"/>
  <c r="I47" i="3"/>
  <c r="D48" i="3"/>
  <c r="D52" i="3"/>
  <c r="B4" i="3"/>
  <c r="B8" i="3"/>
  <c r="J8" i="3" s="1"/>
  <c r="B28" i="3"/>
  <c r="J28" i="3" s="1"/>
  <c r="B32" i="3"/>
  <c r="J32" i="3" s="1"/>
  <c r="M32" i="3" s="1"/>
  <c r="O32" i="3" s="1"/>
  <c r="B36" i="3"/>
  <c r="J36" i="3" s="1"/>
  <c r="M36" i="3" s="1"/>
  <c r="O36" i="3" s="1"/>
  <c r="B44" i="3"/>
  <c r="J44" i="3" s="1"/>
  <c r="B48" i="3"/>
  <c r="J48" i="3" s="1"/>
  <c r="K7" i="3"/>
  <c r="K11" i="3"/>
  <c r="K15" i="3"/>
  <c r="K19" i="3"/>
  <c r="K23" i="3"/>
  <c r="K27" i="3"/>
  <c r="K31" i="3"/>
  <c r="K35" i="3"/>
  <c r="K39" i="3"/>
  <c r="K43" i="3"/>
  <c r="K47" i="3"/>
  <c r="F21" i="3" l="1"/>
  <c r="O52" i="3"/>
  <c r="F11" i="3"/>
  <c r="M18" i="3"/>
  <c r="M20" i="3"/>
  <c r="C30" i="3"/>
  <c r="H21" i="3"/>
  <c r="F33" i="3"/>
  <c r="O29" i="3"/>
  <c r="J35" i="3"/>
  <c r="M35" i="3" s="1"/>
  <c r="O35" i="3" s="1"/>
  <c r="C22" i="3"/>
  <c r="F22" i="3" s="1"/>
  <c r="H22" i="3" s="1"/>
  <c r="J15" i="3"/>
  <c r="M15" i="3" s="1"/>
  <c r="O15" i="3" s="1"/>
  <c r="H29" i="3"/>
  <c r="C50" i="3"/>
  <c r="F50" i="3" s="1"/>
  <c r="H50" i="3" s="1"/>
  <c r="J31" i="3"/>
  <c r="M31" i="3" s="1"/>
  <c r="O31" i="3" s="1"/>
  <c r="M48" i="3"/>
  <c r="O48" i="3" s="1"/>
  <c r="J21" i="3"/>
  <c r="M50" i="3"/>
  <c r="O50" i="3" s="1"/>
  <c r="F15" i="3"/>
  <c r="H15" i="3" s="1"/>
  <c r="H35" i="3"/>
  <c r="C54" i="3"/>
  <c r="F54" i="3" s="1"/>
  <c r="H54" i="3" s="1"/>
  <c r="M44" i="3"/>
  <c r="O44" i="3" s="1"/>
  <c r="H27" i="3"/>
  <c r="M28" i="3"/>
  <c r="O28" i="3" s="1"/>
  <c r="F7" i="3"/>
  <c r="H7" i="3" s="1"/>
  <c r="F19" i="3"/>
  <c r="H19" i="3" s="1"/>
  <c r="C46" i="3"/>
  <c r="F46" i="3" s="1"/>
  <c r="H46" i="3" s="1"/>
  <c r="C13" i="3"/>
  <c r="F47" i="3"/>
  <c r="H47" i="3" s="1"/>
  <c r="F23" i="3"/>
  <c r="H23" i="3" s="1"/>
  <c r="J27" i="3"/>
  <c r="M27" i="3" s="1"/>
  <c r="O27" i="3" s="1"/>
  <c r="C38" i="3"/>
  <c r="F38" i="3" s="1"/>
  <c r="H38" i="3" s="1"/>
  <c r="F30" i="3"/>
  <c r="H30" i="3" s="1"/>
  <c r="C45" i="3"/>
  <c r="F45" i="3" s="1"/>
  <c r="H45" i="3" s="1"/>
  <c r="J11" i="3"/>
  <c r="M11" i="3" s="1"/>
  <c r="O11" i="3" s="1"/>
  <c r="O18" i="3"/>
  <c r="F39" i="3"/>
  <c r="H39" i="3" s="1"/>
  <c r="J37" i="3"/>
  <c r="M37" i="3" s="1"/>
  <c r="O37" i="3" s="1"/>
  <c r="M25" i="3"/>
  <c r="O25" i="3" s="1"/>
  <c r="M14" i="3"/>
  <c r="O14" i="3" s="1"/>
  <c r="M54" i="3"/>
  <c r="O54" i="3" s="1"/>
  <c r="M38" i="3"/>
  <c r="O38" i="3" s="1"/>
  <c r="C9" i="3"/>
  <c r="F9" i="3" s="1"/>
  <c r="H9" i="3" s="1"/>
  <c r="J9" i="3"/>
  <c r="M9" i="3" s="1"/>
  <c r="O9" i="3" s="1"/>
  <c r="J23" i="3"/>
  <c r="M23" i="3" s="1"/>
  <c r="O23" i="3" s="1"/>
  <c r="J6" i="3"/>
  <c r="M6" i="3" s="1"/>
  <c r="O6" i="3" s="1"/>
  <c r="M22" i="3"/>
  <c r="O22" i="3" s="1"/>
  <c r="M8" i="3"/>
  <c r="O8" i="3" s="1"/>
  <c r="C18" i="3"/>
  <c r="F18" i="3" s="1"/>
  <c r="H18" i="3" s="1"/>
  <c r="M5" i="3"/>
  <c r="O5" i="3" s="1"/>
  <c r="O13" i="3"/>
  <c r="O20" i="3"/>
  <c r="C5" i="3"/>
  <c r="F5" i="3" s="1"/>
  <c r="H5" i="3" s="1"/>
  <c r="C14" i="3"/>
  <c r="F14" i="3" s="1"/>
  <c r="H14" i="3" s="1"/>
  <c r="M45" i="3"/>
  <c r="O45" i="3" s="1"/>
  <c r="F13" i="3"/>
  <c r="H13" i="3" s="1"/>
  <c r="J49" i="3"/>
  <c r="M49" i="3" s="1"/>
  <c r="O49" i="3" s="1"/>
  <c r="F51" i="3"/>
  <c r="H51" i="3" s="1"/>
  <c r="C17" i="3"/>
  <c r="F17" i="3" s="1"/>
  <c r="H17" i="3" s="1"/>
  <c r="J33" i="3"/>
  <c r="M33" i="3" s="1"/>
  <c r="O33" i="3" s="1"/>
  <c r="F52" i="3"/>
  <c r="H52" i="3" s="1"/>
  <c r="C26" i="3"/>
  <c r="F26" i="3" s="1"/>
  <c r="H26" i="3" s="1"/>
  <c r="M30" i="3"/>
  <c r="O30" i="3" s="1"/>
  <c r="C34" i="3"/>
  <c r="F34" i="3" s="1"/>
  <c r="H34" i="3" s="1"/>
  <c r="F31" i="3"/>
  <c r="H31" i="3" s="1"/>
  <c r="J43" i="3"/>
  <c r="M43" i="3" s="1"/>
  <c r="O43" i="3" s="1"/>
  <c r="M26" i="3"/>
  <c r="O26" i="3" s="1"/>
  <c r="M17" i="3"/>
  <c r="O17" i="3" s="1"/>
  <c r="F6" i="3"/>
  <c r="H6" i="3" s="1"/>
  <c r="H33" i="3"/>
  <c r="H11" i="3"/>
  <c r="C25" i="3"/>
  <c r="F25" i="3" s="1"/>
  <c r="H25" i="3" s="1"/>
  <c r="M40" i="3"/>
  <c r="O40" i="3" s="1"/>
  <c r="J53" i="3"/>
  <c r="M53" i="3" s="1"/>
  <c r="O53" i="3" s="1"/>
  <c r="M46" i="3"/>
  <c r="O46" i="3" s="1"/>
  <c r="F37" i="3"/>
  <c r="H37" i="3" s="1"/>
  <c r="J39" i="3"/>
  <c r="M39" i="3" s="1"/>
  <c r="O39" i="3" s="1"/>
  <c r="M16" i="3"/>
  <c r="O16" i="3" s="1"/>
  <c r="M21" i="3"/>
  <c r="O21" i="3" s="1"/>
  <c r="J47" i="3"/>
  <c r="M47" i="3" s="1"/>
  <c r="O47" i="3" s="1"/>
  <c r="M24" i="3"/>
  <c r="O24" i="3" s="1"/>
  <c r="C10" i="3"/>
  <c r="F10" i="3" s="1"/>
  <c r="H10" i="3" s="1"/>
  <c r="J10" i="3"/>
  <c r="M10" i="3" s="1"/>
  <c r="O10" i="3" s="1"/>
  <c r="J19" i="3"/>
  <c r="M19" i="3" s="1"/>
  <c r="O19" i="3" s="1"/>
  <c r="J51" i="3"/>
  <c r="M51" i="3" s="1"/>
  <c r="O51" i="3" s="1"/>
  <c r="H43" i="3"/>
  <c r="M12" i="3"/>
  <c r="O12" i="3" s="1"/>
  <c r="J7" i="3"/>
  <c r="M7" i="3" s="1"/>
  <c r="O7" i="3" s="1"/>
  <c r="O34" i="3"/>
  <c r="C41" i="3"/>
  <c r="F41" i="3" s="1"/>
  <c r="H41" i="3" s="1"/>
  <c r="J41" i="3"/>
  <c r="M41" i="3" s="1"/>
  <c r="O41" i="3" s="1"/>
  <c r="C28" i="3"/>
  <c r="F28" i="3" s="1"/>
  <c r="H28" i="3" s="1"/>
  <c r="J42" i="3"/>
  <c r="M42" i="3" s="1"/>
  <c r="O42" i="3" s="1"/>
  <c r="C42" i="3"/>
  <c r="F42" i="3" s="1"/>
  <c r="H42" i="3" s="1"/>
  <c r="C8" i="3"/>
  <c r="F8" i="3" s="1"/>
  <c r="H8" i="3" s="1"/>
  <c r="C4" i="3"/>
  <c r="F4" i="3" s="1"/>
  <c r="J4" i="3"/>
  <c r="C36" i="3"/>
  <c r="F36" i="3" s="1"/>
  <c r="H36" i="3" s="1"/>
  <c r="C48" i="3"/>
  <c r="F48" i="3" s="1"/>
  <c r="H48" i="3" s="1"/>
  <c r="C44" i="3"/>
  <c r="F44" i="3" s="1"/>
  <c r="H44" i="3" s="1"/>
  <c r="C40" i="3"/>
  <c r="F40" i="3" s="1"/>
  <c r="H40" i="3" s="1"/>
  <c r="C32" i="3"/>
  <c r="F32" i="3" s="1"/>
  <c r="H32" i="3" s="1"/>
  <c r="C24" i="3"/>
  <c r="F24" i="3" s="1"/>
  <c r="H24" i="3" s="1"/>
  <c r="C20" i="3"/>
  <c r="F20" i="3" s="1"/>
  <c r="H20" i="3" s="1"/>
  <c r="C16" i="3"/>
  <c r="F16" i="3" s="1"/>
  <c r="H16" i="3" s="1"/>
  <c r="C12" i="3"/>
  <c r="F12" i="3" s="1"/>
  <c r="H12" i="3" s="1"/>
  <c r="W4" i="3" l="1"/>
  <c r="W5" i="3" s="1"/>
  <c r="W6" i="3" s="1"/>
  <c r="W7" i="3" s="1"/>
  <c r="W8" i="3" s="1"/>
  <c r="W9" i="3" s="1"/>
  <c r="W10" i="3" s="1"/>
  <c r="W11" i="3" s="1"/>
  <c r="W12" i="3" s="1"/>
  <c r="W13" i="3" s="1"/>
  <c r="W14" i="3" s="1"/>
  <c r="W15" i="3" s="1"/>
  <c r="W16" i="3" s="1"/>
  <c r="W17" i="3" s="1"/>
  <c r="W18" i="3" s="1"/>
  <c r="W19" i="3" s="1"/>
  <c r="W20" i="3" s="1"/>
  <c r="W21" i="3" s="1"/>
  <c r="W22" i="3" s="1"/>
  <c r="W23" i="3" s="1"/>
  <c r="W24" i="3" s="1"/>
  <c r="W25" i="3" s="1"/>
  <c r="W26" i="3" s="1"/>
  <c r="W27" i="3" s="1"/>
  <c r="W28" i="3" s="1"/>
  <c r="W29" i="3" s="1"/>
  <c r="W30" i="3" s="1"/>
  <c r="W31" i="3" s="1"/>
  <c r="W32" i="3" s="1"/>
  <c r="W33" i="3" s="1"/>
  <c r="W34" i="3" s="1"/>
  <c r="W35" i="3" s="1"/>
  <c r="W36" i="3" s="1"/>
  <c r="W37" i="3" s="1"/>
  <c r="W38" i="3" s="1"/>
  <c r="W39" i="3" s="1"/>
  <c r="W40" i="3" s="1"/>
  <c r="W41" i="3" s="1"/>
  <c r="W42" i="3" s="1"/>
  <c r="W43" i="3" s="1"/>
  <c r="W44" i="3" s="1"/>
  <c r="W45" i="3" s="1"/>
  <c r="W46" i="3" s="1"/>
  <c r="W47" i="3" s="1"/>
  <c r="W48" i="3" s="1"/>
  <c r="W49" i="3" s="1"/>
  <c r="W50" i="3" s="1"/>
  <c r="W51" i="3" s="1"/>
  <c r="W52" i="3" s="1"/>
  <c r="W53" i="3" s="1"/>
  <c r="W54" i="3" s="1"/>
  <c r="M4" i="3"/>
  <c r="V58" i="3"/>
  <c r="T58" i="3"/>
  <c r="H4" i="3"/>
  <c r="G4" i="3"/>
  <c r="L58" i="3" l="1"/>
  <c r="B32" i="2" s="1"/>
  <c r="B30" i="2"/>
  <c r="J58" i="3"/>
  <c r="B27" i="2"/>
  <c r="W58" i="3"/>
  <c r="U58" i="3"/>
  <c r="O4" i="3"/>
  <c r="N4" i="3"/>
  <c r="X4" i="3" s="1"/>
  <c r="G5" i="3"/>
  <c r="Q4" i="3"/>
  <c r="S4" i="3"/>
  <c r="S58" i="3" l="1"/>
  <c r="E32" i="2" s="1"/>
  <c r="E30" i="2"/>
  <c r="K58" i="3"/>
  <c r="B33" i="2" s="1"/>
  <c r="B29" i="2"/>
  <c r="S5" i="3"/>
  <c r="Q5" i="3"/>
  <c r="G6" i="3"/>
  <c r="N5" i="3"/>
  <c r="X5" i="3" s="1"/>
  <c r="T4" i="3"/>
  <c r="Z4" i="3" s="1"/>
  <c r="R4" i="3"/>
  <c r="Y4" i="3" s="1"/>
  <c r="Q58" i="3"/>
  <c r="E27" i="2"/>
  <c r="G7" i="3" l="1"/>
  <c r="Q6" i="3"/>
  <c r="S6" i="3"/>
  <c r="R58" i="3"/>
  <c r="E33" i="2" s="1"/>
  <c r="E29" i="2"/>
  <c r="T5" i="3"/>
  <c r="Z5" i="3" s="1"/>
  <c r="N6" i="3"/>
  <c r="R5" i="3"/>
  <c r="Y5" i="3" s="1"/>
  <c r="R6" i="3" l="1"/>
  <c r="Y6" i="3" s="1"/>
  <c r="T6" i="3"/>
  <c r="Z6" i="3" s="1"/>
  <c r="N7" i="3"/>
  <c r="X7" i="3" s="1"/>
  <c r="X6" i="3"/>
  <c r="G8" i="3"/>
  <c r="Q7" i="3"/>
  <c r="S7" i="3"/>
  <c r="S8" i="3" l="1"/>
  <c r="G9" i="3"/>
  <c r="Q8" i="3"/>
  <c r="R7" i="3"/>
  <c r="Y7" i="3" s="1"/>
  <c r="T7" i="3"/>
  <c r="Z7" i="3" s="1"/>
  <c r="N8" i="3"/>
  <c r="Q9" i="3" l="1"/>
  <c r="S9" i="3"/>
  <c r="G10" i="3"/>
  <c r="T8" i="3"/>
  <c r="Z8" i="3" s="1"/>
  <c r="R8" i="3"/>
  <c r="Y8" i="3" s="1"/>
  <c r="N9" i="3"/>
  <c r="X8" i="3"/>
  <c r="T9" i="3" l="1"/>
  <c r="Z9" i="3" s="1"/>
  <c r="N10" i="3"/>
  <c r="R9" i="3"/>
  <c r="Y9" i="3" s="1"/>
  <c r="X9" i="3"/>
  <c r="G11" i="3"/>
  <c r="X10" i="3"/>
  <c r="S10" i="3"/>
  <c r="Q10" i="3"/>
  <c r="S11" i="3" l="1"/>
  <c r="G12" i="3"/>
  <c r="Q11" i="3"/>
  <c r="T10" i="3"/>
  <c r="Z10" i="3" s="1"/>
  <c r="R10" i="3"/>
  <c r="Y10" i="3" s="1"/>
  <c r="N11" i="3"/>
  <c r="R11" i="3" l="1"/>
  <c r="Y11" i="3" s="1"/>
  <c r="T11" i="3"/>
  <c r="Z11" i="3" s="1"/>
  <c r="N12" i="3"/>
  <c r="X11" i="3"/>
  <c r="X12" i="3"/>
  <c r="G13" i="3"/>
  <c r="S12" i="3"/>
  <c r="Q12" i="3"/>
  <c r="S13" i="3" l="1"/>
  <c r="Q13" i="3"/>
  <c r="G14" i="3"/>
  <c r="T12" i="3"/>
  <c r="Z12" i="3" s="1"/>
  <c r="R12" i="3"/>
  <c r="Y12" i="3" s="1"/>
  <c r="N13" i="3"/>
  <c r="T13" i="3" l="1"/>
  <c r="Z13" i="3" s="1"/>
  <c r="N14" i="3"/>
  <c r="R13" i="3"/>
  <c r="X13" i="3"/>
  <c r="G15" i="3"/>
  <c r="X14" i="3"/>
  <c r="S14" i="3"/>
  <c r="Q14" i="3"/>
  <c r="Y13" i="3"/>
  <c r="G16" i="3" l="1"/>
  <c r="Q15" i="3"/>
  <c r="S15" i="3"/>
  <c r="N15" i="3"/>
  <c r="T14" i="3"/>
  <c r="Z14" i="3" s="1"/>
  <c r="R14" i="3"/>
  <c r="Y14" i="3" s="1"/>
  <c r="N16" i="3" l="1"/>
  <c r="T15" i="3"/>
  <c r="Z15" i="3" s="1"/>
  <c r="R15" i="3"/>
  <c r="Y15" i="3" s="1"/>
  <c r="X15" i="3"/>
  <c r="X16" i="3"/>
  <c r="G17" i="3"/>
  <c r="S16" i="3"/>
  <c r="Q16" i="3"/>
  <c r="Q17" i="3" l="1"/>
  <c r="S17" i="3"/>
  <c r="G18" i="3"/>
  <c r="T16" i="3"/>
  <c r="Z16" i="3" s="1"/>
  <c r="N17" i="3"/>
  <c r="X17" i="3" s="1"/>
  <c r="R16" i="3"/>
  <c r="Y16" i="3" s="1"/>
  <c r="T17" i="3" l="1"/>
  <c r="Z17" i="3" s="1"/>
  <c r="N18" i="3"/>
  <c r="R17" i="3"/>
  <c r="Y17" i="3" s="1"/>
  <c r="G19" i="3"/>
  <c r="X18" i="3"/>
  <c r="Q18" i="3"/>
  <c r="S18" i="3"/>
  <c r="G20" i="3" l="1"/>
  <c r="S19" i="3"/>
  <c r="Q19" i="3"/>
  <c r="N19" i="3"/>
  <c r="T18" i="3"/>
  <c r="Z18" i="3" s="1"/>
  <c r="R18" i="3"/>
  <c r="Y18" i="3" s="1"/>
  <c r="N20" i="3" l="1"/>
  <c r="R19" i="3"/>
  <c r="Y19" i="3" s="1"/>
  <c r="T19" i="3"/>
  <c r="Z19" i="3" s="1"/>
  <c r="X20" i="3"/>
  <c r="G21" i="3"/>
  <c r="S20" i="3"/>
  <c r="Q20" i="3"/>
  <c r="X19" i="3"/>
  <c r="Q21" i="3" l="1"/>
  <c r="S21" i="3"/>
  <c r="G22" i="3"/>
  <c r="N21" i="3"/>
  <c r="T20" i="3"/>
  <c r="Z20" i="3" s="1"/>
  <c r="R20" i="3"/>
  <c r="Y20" i="3" s="1"/>
  <c r="T21" i="3" l="1"/>
  <c r="Z21" i="3" s="1"/>
  <c r="N22" i="3"/>
  <c r="R21" i="3"/>
  <c r="X21" i="3"/>
  <c r="G23" i="3"/>
  <c r="S22" i="3"/>
  <c r="Q22" i="3"/>
  <c r="X22" i="3"/>
  <c r="Y21" i="3"/>
  <c r="R22" i="3" l="1"/>
  <c r="N23" i="3"/>
  <c r="T22" i="3"/>
  <c r="Z22" i="3" s="1"/>
  <c r="Y22" i="3"/>
  <c r="S23" i="3"/>
  <c r="Q23" i="3"/>
  <c r="G24" i="3"/>
  <c r="X23" i="3"/>
  <c r="S24" i="3" l="1"/>
  <c r="Q24" i="3"/>
  <c r="G25" i="3"/>
  <c r="T23" i="3"/>
  <c r="Z23" i="3" s="1"/>
  <c r="R23" i="3"/>
  <c r="Y23" i="3" s="1"/>
  <c r="N24" i="3"/>
  <c r="Q25" i="3" l="1"/>
  <c r="S25" i="3"/>
  <c r="T24" i="3"/>
  <c r="Z24" i="3" s="1"/>
  <c r="R24" i="3"/>
  <c r="Y24" i="3" s="1"/>
  <c r="N25" i="3"/>
  <c r="X25" i="3" s="1"/>
  <c r="G26" i="3"/>
  <c r="X24" i="3"/>
  <c r="S26" i="3" l="1"/>
  <c r="Q26" i="3"/>
  <c r="N26" i="3"/>
  <c r="T25" i="3"/>
  <c r="Z25" i="3" s="1"/>
  <c r="R25" i="3"/>
  <c r="Y25" i="3" s="1"/>
  <c r="G27" i="3"/>
  <c r="X26" i="3"/>
  <c r="S27" i="3" l="1"/>
  <c r="Q27" i="3"/>
  <c r="N27" i="3"/>
  <c r="R26" i="3"/>
  <c r="T26" i="3"/>
  <c r="Z26" i="3" s="1"/>
  <c r="Y26" i="3"/>
  <c r="X27" i="3"/>
  <c r="G28" i="3"/>
  <c r="Q28" i="3" l="1"/>
  <c r="S28" i="3"/>
  <c r="N28" i="3"/>
  <c r="T27" i="3"/>
  <c r="Z27" i="3" s="1"/>
  <c r="R27" i="3"/>
  <c r="Y27" i="3" s="1"/>
  <c r="X28" i="3"/>
  <c r="G29" i="3"/>
  <c r="Q29" i="3" l="1"/>
  <c r="S29" i="3"/>
  <c r="N29" i="3"/>
  <c r="T28" i="3"/>
  <c r="Z28" i="3" s="1"/>
  <c r="R28" i="3"/>
  <c r="Y28" i="3" s="1"/>
  <c r="X29" i="3"/>
  <c r="G30" i="3"/>
  <c r="N30" i="3" l="1"/>
  <c r="R29" i="3"/>
  <c r="T29" i="3"/>
  <c r="Z29" i="3" s="1"/>
  <c r="S30" i="3"/>
  <c r="Q30" i="3"/>
  <c r="Y29" i="3"/>
  <c r="G31" i="3"/>
  <c r="X30" i="3"/>
  <c r="S31" i="3" l="1"/>
  <c r="Q31" i="3"/>
  <c r="N31" i="3"/>
  <c r="T30" i="3"/>
  <c r="Z30" i="3" s="1"/>
  <c r="R30" i="3"/>
  <c r="Y30" i="3" s="1"/>
  <c r="X31" i="3"/>
  <c r="G32" i="3"/>
  <c r="N32" i="3" l="1"/>
  <c r="T31" i="3"/>
  <c r="Z31" i="3" s="1"/>
  <c r="R31" i="3"/>
  <c r="Y31" i="3" s="1"/>
  <c r="Q32" i="3"/>
  <c r="S32" i="3"/>
  <c r="X32" i="3"/>
  <c r="G33" i="3"/>
  <c r="Q33" i="3" l="1"/>
  <c r="S33" i="3"/>
  <c r="N33" i="3"/>
  <c r="T32" i="3"/>
  <c r="Z32" i="3" s="1"/>
  <c r="R32" i="3"/>
  <c r="Y32" i="3" s="1"/>
  <c r="X33" i="3"/>
  <c r="G34" i="3"/>
  <c r="S34" i="3" l="1"/>
  <c r="Q34" i="3"/>
  <c r="N34" i="3"/>
  <c r="T33" i="3"/>
  <c r="Z33" i="3" s="1"/>
  <c r="R33" i="3"/>
  <c r="Y33" i="3" s="1"/>
  <c r="G35" i="3"/>
  <c r="X34" i="3"/>
  <c r="N35" i="3" l="1"/>
  <c r="N36" i="3" s="1"/>
  <c r="N37" i="3" s="1"/>
  <c r="N38" i="3" s="1"/>
  <c r="N39" i="3" s="1"/>
  <c r="N40" i="3" s="1"/>
  <c r="N41" i="3" s="1"/>
  <c r="N42" i="3" s="1"/>
  <c r="N43" i="3" s="1"/>
  <c r="N44" i="3" s="1"/>
  <c r="N45" i="3" s="1"/>
  <c r="N46" i="3" s="1"/>
  <c r="N47" i="3" s="1"/>
  <c r="N48" i="3" s="1"/>
  <c r="N49" i="3" s="1"/>
  <c r="N50" i="3" s="1"/>
  <c r="N51" i="3" s="1"/>
  <c r="N52" i="3" s="1"/>
  <c r="N53" i="3" s="1"/>
  <c r="N54" i="3" s="1"/>
  <c r="R34" i="3"/>
  <c r="Y34" i="3" s="1"/>
  <c r="T34" i="3"/>
  <c r="Z34" i="3" s="1"/>
  <c r="X35" i="3"/>
  <c r="G36" i="3"/>
  <c r="X36" i="3" l="1"/>
  <c r="G37" i="3"/>
  <c r="X37" i="3" l="1"/>
  <c r="G38" i="3"/>
  <c r="G39" i="3" l="1"/>
  <c r="X38" i="3"/>
  <c r="G40" i="3" l="1"/>
  <c r="X39" i="3"/>
  <c r="X40" i="3" l="1"/>
  <c r="G41" i="3"/>
  <c r="X41" i="3" l="1"/>
  <c r="G42" i="3"/>
  <c r="G43" i="3" l="1"/>
  <c r="X42" i="3"/>
  <c r="G44" i="3" l="1"/>
  <c r="X43" i="3"/>
  <c r="X44" i="3" l="1"/>
  <c r="G45" i="3"/>
  <c r="X45" i="3" l="1"/>
  <c r="G46" i="3"/>
  <c r="G47" i="3" l="1"/>
  <c r="X46" i="3"/>
  <c r="G48" i="3" l="1"/>
  <c r="X47" i="3"/>
  <c r="X48" i="3" l="1"/>
  <c r="G49" i="3"/>
  <c r="X49" i="3" l="1"/>
  <c r="G50" i="3"/>
  <c r="G51" i="3" l="1"/>
  <c r="X50" i="3"/>
  <c r="G52" i="3" l="1"/>
  <c r="X51" i="3"/>
  <c r="X52" i="3" l="1"/>
  <c r="G53" i="3"/>
  <c r="X53" i="3" l="1"/>
  <c r="G54" i="3"/>
  <c r="X54" i="3" s="1"/>
</calcChain>
</file>

<file path=xl/sharedStrings.xml><?xml version="1.0" encoding="utf-8"?>
<sst xmlns="http://schemas.openxmlformats.org/spreadsheetml/2006/main" count="102" uniqueCount="95">
  <si>
    <t>Vul de gele velden in (blauw tekst = input). De rest rekent automatisch.</t>
  </si>
  <si>
    <t>Algemene aannames</t>
  </si>
  <si>
    <t>Scenario</t>
  </si>
  <si>
    <t>Energieprijsstijging %</t>
  </si>
  <si>
    <t>Discontovoet %</t>
  </si>
  <si>
    <t>Restwaarde Optie  A %</t>
  </si>
  <si>
    <t>Restwaarde BHS %</t>
  </si>
  <si>
    <t>Horizon exploitatie (jaren)</t>
  </si>
  <si>
    <t>Optimistisch</t>
  </si>
  <si>
    <t>Neutraal</t>
  </si>
  <si>
    <t>Conservatief</t>
  </si>
  <si>
    <t>Start energieprijs (€/kWh)</t>
  </si>
  <si>
    <t>incl. belastingen en netwerk- en transportkosten</t>
  </si>
  <si>
    <t>Jaarlijkse energieprijsstijging (%)</t>
  </si>
  <si>
    <t>Custom scenario waarden (alleen gebruikt als Scenario = Custom)</t>
  </si>
  <si>
    <t>Jaarlijkse onderhoudsinflatie (%)</t>
  </si>
  <si>
    <t>Custom energieprijsstijging (%)</t>
  </si>
  <si>
    <t>Discontovoet / rendementseis (%)</t>
  </si>
  <si>
    <t>Custom onderhoudsinflatie (%)</t>
  </si>
  <si>
    <t>Custom discontovoet (%)</t>
  </si>
  <si>
    <t>Custom restwaarde A (% van aanschaf)</t>
  </si>
  <si>
    <t xml:space="preserve">Optie A </t>
  </si>
  <si>
    <t>Waarde</t>
  </si>
  <si>
    <t>Optie B (Biobased Housing Solutions)</t>
  </si>
  <si>
    <t>Custom restwaarde BHS (% van aanschaf)</t>
  </si>
  <si>
    <t>Aanschafprijs (€) incl. btw</t>
  </si>
  <si>
    <t>Totale warmteverbruik (kWh/jaar)</t>
  </si>
  <si>
    <t>ℹ️   matig geïsoleerd ≈ 100 - 150 kWh/ m2/ jaar</t>
  </si>
  <si>
    <t>Onderhoud (€/jaar, jaar 1) incl. vervangingen</t>
  </si>
  <si>
    <t>Onderhoud (€/jaar, jaar 1), incl. vervangingen</t>
  </si>
  <si>
    <t>ℹ️  Meer installaties, hogere warmtevraag, versnelde slijtage en risico op opgesloten vocht.</t>
  </si>
  <si>
    <t>ℹ️  Duurzame, dampopen woning met lange levensduur, minimale techniek, gezonde vochtregulatie en blijvend hoge restwaarde.</t>
  </si>
  <si>
    <t>Levensduur / vervangingscyclus (jaren)</t>
  </si>
  <si>
    <t>ℹ️  Na circa 25 jaar technisch en economisch afgeschreven door hogere slijtage en beperkte constructieve duurzaamheid.</t>
  </si>
  <si>
    <t>ℹ️   Constructief ontworpen voor 75+ jaar bij normaal onderhoud en blijvend droge, dampopen opbouw.</t>
  </si>
  <si>
    <t>Vervangingskosten factor (x aanschaf)</t>
  </si>
  <si>
    <t>Restwaarde einde horizon (% van aanschaf)</t>
  </si>
  <si>
    <t>Kernoutput (over exploitatiehorizon)</t>
  </si>
  <si>
    <t>Totale kasuitstroom nominaal (incl. aanschaf, excl. restwaarde) (€)</t>
  </si>
  <si>
    <t>Restwaarde einde horizon nominaal (€)</t>
  </si>
  <si>
    <t>Netto TCO nominaal (na restwaarde) (€)</t>
  </si>
  <si>
    <t>Totale kasuitstroom contant (NPV, excl. restwaarde) (€)</t>
  </si>
  <si>
    <t>Restwaarde einde horizon contant (€)</t>
  </si>
  <si>
    <t>Netto TCO contant / NPV (na restwaarde) (€)</t>
  </si>
  <si>
    <t>Gemiddelde netto kosten per maand (nominaal) (€)</t>
  </si>
  <si>
    <t>Wat deze tool doet</t>
  </si>
  <si>
    <t>Deze tool vergelijkt twee woonoplossingen op Total Cost of Ownership (TCO) over een gekozen horizon.
Per jaar rekent de tool: aanschaf (jaar 0), energie, onderhoud &amp; vervanging en restwaarde (einde horizon).</t>
  </si>
  <si>
    <t xml:space="preserve">Bruto vs Netto </t>
  </si>
  <si>
    <t>Bruto kasuitstroom = alle uitgaande geldstromen binnen de horizon (incl. aanschaf, excl. restwaarde).
Netto TCO = bruto kasuitstroom - restwaarde aan het einde van de exploitatie.
Daarom zie je beide in de output.</t>
  </si>
  <si>
    <t>Nominaal vs contant (NPV)</t>
  </si>
  <si>
    <t>Nominaal = bedragen zoals je ze in de toekomst betaalt (incl. stijgingen).
Contant/NPV = dezelfde kasstromen terugvertaald naar vandaag met de discontovoet.</t>
  </si>
  <si>
    <t>Kies je eigen scenario</t>
  </si>
  <si>
    <t>Disclaimer</t>
  </si>
  <si>
    <t>Rekenmodel (jaarlijks)</t>
  </si>
  <si>
    <t>Jaar</t>
  </si>
  <si>
    <t>Energieprijs (€/kWh)</t>
  </si>
  <si>
    <t>A: Warmte (€)</t>
  </si>
  <si>
    <t>A: Onderhoud (€)</t>
  </si>
  <si>
    <t>A: Vervanging (€)</t>
  </si>
  <si>
    <t>A: Totaal (€)</t>
  </si>
  <si>
    <t>Optie A: Cumulatief (€)</t>
  </si>
  <si>
    <t>Optie A: Contant (€)</t>
  </si>
  <si>
    <t>Discount factor</t>
  </si>
  <si>
    <t>BHS: Warmte (€)</t>
  </si>
  <si>
    <t>BHS: Onderhoud (€)</t>
  </si>
  <si>
    <t>BHS: Vervanging (€)</t>
  </si>
  <si>
    <t>BHS: Totaal (€)</t>
  </si>
  <si>
    <t>BHS: Cumulatief (€)</t>
  </si>
  <si>
    <t>Optie BHS: Contant (€)</t>
  </si>
  <si>
    <t>Jaar_plot</t>
  </si>
  <si>
    <t>A_Cum_Bruto_plot</t>
  </si>
  <si>
    <t>BHS_Cum_Bruto_plot</t>
  </si>
  <si>
    <t>A_Cum_Netto_plot</t>
  </si>
  <si>
    <t>BHS_Cum_Netto_plot</t>
  </si>
  <si>
    <t>A_Restwaarde_plot</t>
  </si>
  <si>
    <t>BHS_Restwaarde_plot</t>
  </si>
  <si>
    <t>Optie BHS: Cumulatief contant bruto (€)</t>
  </si>
  <si>
    <t>Delta cumulatief netto (A - BHS) (€)</t>
  </si>
  <si>
    <t>Delta cumulatief contant netto (A - BHS) (€)</t>
  </si>
  <si>
    <t>Delta cumulatief bruto (A - BHS) (€)</t>
  </si>
  <si>
    <t>Samenvatting (op horizon)</t>
  </si>
  <si>
    <t>A nominaal</t>
  </si>
  <si>
    <t>A / maand</t>
  </si>
  <si>
    <t>A NPV</t>
  </si>
  <si>
    <t>BHS nominaal</t>
  </si>
  <si>
    <t>BHS / maand</t>
  </si>
  <si>
    <t>BHS NPV</t>
  </si>
  <si>
    <r>
      <t xml:space="preserve">Keuze scenario </t>
    </r>
    <r>
      <rPr>
        <sz val="11"/>
        <rFont val="Rubik"/>
      </rPr>
      <t>(optimistisch/ neutraal/ conservatief/ custom)</t>
    </r>
  </si>
  <si>
    <t>Onderhoudinflatie %</t>
  </si>
  <si>
    <t>ℹ️   zeer goed geïsoleerd, WTW-unit en optimale luchtdichting ≈ 50kWh/ m2 / jaar</t>
  </si>
  <si>
    <r>
      <t>BHS Exploitatievergelijk Scan (</t>
    </r>
    <r>
      <rPr>
        <b/>
        <sz val="12"/>
        <color theme="3" tint="-0.499984740745262"/>
        <rFont val="Rubik"/>
      </rPr>
      <t>op basis van de Total Cost of Ownership; TCO</t>
    </r>
    <r>
      <rPr>
        <b/>
        <sz val="16"/>
        <color theme="3" tint="-0.499984740745262"/>
        <rFont val="Rubik"/>
      </rPr>
      <t>)</t>
    </r>
  </si>
  <si>
    <t>BHS Exploitatievergelijk Scan - uitleg</t>
  </si>
  <si>
    <t>Met ‘Optimistisch / Neutraal / Conservatief’ zet je in één keer energieprijsstijging, onderhoudsinflatie, discontovoet én richt-restwaardes.
Kies ‘Custom’ als je eigen waarden wilt invullen.</t>
  </si>
  <si>
    <t>Dit is een rekenmodel op basis van aannames. Werkelijke kosten hangen af van specificaties woning, gebruik, locatie, energiecontract en onderhoudsdiscipline.</t>
  </si>
  <si>
    <r>
      <rPr>
        <b/>
        <sz val="11"/>
        <color theme="1"/>
        <rFont val="Rubik"/>
      </rPr>
      <t>Algemene toelichting</t>
    </r>
    <r>
      <rPr>
        <sz val="11"/>
        <color theme="1"/>
        <rFont val="Rubik"/>
      </rPr>
      <t>: een zeer betaalbaar tiny house is primair ontworpen op lage aanschafkosten. Dit betekent doorgaans een lichtere constructie, dunnere isolatie en meer afhankelijkheid van warmtepomp- of elektrische verwarming. Het warmteverbruik ligt daardoor hoger, installaties draaien zwaarder en onderhouds- en vervangingscycli zijn korter. De technische en economische levensduur ligt meestal rond 25 jaar, met een zeer beperkte restwaarde.
Een volwaardige, verplaatsbare woning van Biobased Housing Solutions is ontworpen als duurzaam vastgoed op nieuwbouwniveau. Dankzij hoogwaardige, dampopen biobased isolatie en een zeer goed geïsoleerde schil is het warmteverbruik aanzienlijk lager. Door minimale en robuuste techniek, zoals balansventilatie met warmteterugwinning en eenvoudige naverwarming, blijven storingsgevoelige onderdelen beperkt. De onderhoudsdruk is lager, vervangingscycli zijn langer en de constructieve levensduur ligt op 75+ jaar. Hierdoor blijft de restwaarde structureel hoger.
Daarnaast bouwen wij volledig dampopen. Dat betekent dat de constructie vocht kan reguleren en actief kan uitdrogen. Er ontstaat geen opgesloten condens in de wandopbouw, waardoor er geen risico is op schimmelvorming. De constructie blijft technisch in veel betere conditie, ook op lange termijn.
Dit heeft directe gevolgen voor het wooncomfort. Een dampopen biobased schil zorgt voor een stabieler binnenklimaat, minder temperatuurschommelingen en een natuurlijk vochtregulerend effect. Het resultaat is een gezonder, aangenamer en merkbaar comfortabeler leefklimaat. Ook akoestisch presteert een zwaardere biobased constructie significant beter dan lichte houtskelet- of sandwichpanelen, wat leidt tot meer rust en woonkwaliteit.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</si>
</sst>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 #,##0"/>
    <numFmt numFmtId="165" formatCode="\€\ 0.000"/>
    <numFmt numFmtId="166" formatCode="0.000"/>
    <numFmt numFmtId="167" formatCode="0.0"/>
  </numFmts>
  <fonts count="21">
    <font>
      <sz val="11"/>
      <color theme="1"/>
      <name val="Calibri"/>
      <family val="2"/>
      <scheme val="minor"/>
    </font>
    <font>
      <b/>
      <sz val="12"/>
      <color rgb="FFFFFFFF"/>
      <name val="Calibri"/>
    </font>
    <font>
      <b/>
      <sz val="11"/>
      <name val="Calibri"/>
    </font>
    <font>
      <b/>
      <sz val="14"/>
      <name val="Calibri"/>
    </font>
    <font>
      <b/>
      <sz val="11"/>
      <name val="Calibri"/>
    </font>
    <font>
      <sz val="11"/>
      <color theme="1"/>
      <name val="Calibri"/>
      <family val="2"/>
      <scheme val="minor"/>
    </font>
    <font>
      <sz val="11"/>
      <color theme="1"/>
      <name val="Rubik"/>
    </font>
    <font>
      <b/>
      <sz val="11"/>
      <color rgb="FFFFFFFF"/>
      <name val="Rubik"/>
    </font>
    <font>
      <b/>
      <sz val="18"/>
      <color theme="3" tint="-0.499984740745262"/>
      <name val="Rubik"/>
    </font>
    <font>
      <b/>
      <sz val="16"/>
      <color theme="3" tint="-0.499984740745262"/>
      <name val="Rubik"/>
    </font>
    <font>
      <sz val="11"/>
      <color rgb="FF555555"/>
      <name val="Rubik"/>
    </font>
    <font>
      <b/>
      <sz val="12"/>
      <color rgb="FFFFFFFF"/>
      <name val="Rubik"/>
    </font>
    <font>
      <sz val="11"/>
      <color rgb="FF0000FF"/>
      <name val="Rubik"/>
    </font>
    <font>
      <b/>
      <sz val="11"/>
      <name val="Rubik"/>
    </font>
    <font>
      <b/>
      <sz val="11"/>
      <color rgb="FF1F4E79"/>
      <name val="Rubik"/>
    </font>
    <font>
      <sz val="11"/>
      <color theme="1" tint="0.34998626667073579"/>
      <name val="Rubik"/>
    </font>
    <font>
      <i/>
      <sz val="11"/>
      <color theme="1" tint="0.34998626667073579"/>
      <name val="Rubik"/>
    </font>
    <font>
      <i/>
      <sz val="11"/>
      <color rgb="FF555555"/>
      <name val="Rubik"/>
    </font>
    <font>
      <b/>
      <sz val="11"/>
      <color theme="1"/>
      <name val="Rubik"/>
    </font>
    <font>
      <sz val="11"/>
      <name val="Rubik"/>
    </font>
    <font>
      <b/>
      <sz val="12"/>
      <color theme="3" tint="-0.499984740745262"/>
      <name val="Rubik"/>
    </font>
  </fonts>
  <fills count="9">
    <fill>
      <patternFill patternType="none"/>
    </fill>
    <fill>
      <patternFill patternType="gray125"/>
    </fill>
    <fill>
      <patternFill patternType="solid">
        <fgColor rgb="FF0B2F4A"/>
      </patternFill>
    </fill>
    <fill>
      <patternFill patternType="solid">
        <fgColor rgb="FFFFF2CC"/>
      </patternFill>
    </fill>
    <fill>
      <patternFill patternType="solid">
        <fgColor rgb="FFE8F1FA"/>
      </patternFill>
    </fill>
    <fill>
      <patternFill patternType="solid">
        <fgColor rgb="FFE2EFDA"/>
      </patternFill>
    </fill>
    <fill>
      <patternFill patternType="solid">
        <fgColor rgb="FFFFF2CC"/>
      </patternFill>
    </fill>
    <fill>
      <patternFill patternType="solid">
        <fgColor rgb="FF1F4E79"/>
      </patternFill>
    </fill>
    <fill>
      <patternFill patternType="solid">
        <fgColor theme="9" tint="0.59999389629810485"/>
        <bgColor indexed="64"/>
      </patternFill>
    </fill>
  </fills>
  <borders count="25">
    <border>
      <left/>
      <right/>
      <top/>
      <bottom/>
      <diagonal/>
    </border>
    <border>
      <left style="thin">
        <color rgb="FFD9D9D9"/>
      </left>
      <right style="thin">
        <color rgb="FFD9D9D9"/>
      </right>
      <top style="thin">
        <color rgb="FFD9D9D9"/>
      </top>
      <bottom style="thin">
        <color rgb="FFD9D9D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D9D9D9"/>
      </left>
      <right style="thin">
        <color rgb="FFD9D9D9"/>
      </right>
      <top style="thin">
        <color rgb="FFD9D9D9"/>
      </top>
      <bottom/>
      <diagonal/>
    </border>
    <border>
      <left style="medium">
        <color indexed="64"/>
      </left>
      <right style="thin">
        <color rgb="FFD9D9D9"/>
      </right>
      <top style="medium">
        <color indexed="64"/>
      </top>
      <bottom style="medium">
        <color indexed="64"/>
      </bottom>
      <diagonal/>
    </border>
    <border>
      <left style="thin">
        <color rgb="FFD9D9D9"/>
      </left>
      <right style="thin">
        <color rgb="FFD9D9D9"/>
      </right>
      <top style="medium">
        <color indexed="64"/>
      </top>
      <bottom style="medium">
        <color indexed="64"/>
      </bottom>
      <diagonal/>
    </border>
    <border>
      <left style="thin">
        <color rgb="FFD9D9D9"/>
      </left>
      <right style="medium">
        <color indexed="64"/>
      </right>
      <top style="medium">
        <color indexed="64"/>
      </top>
      <bottom style="medium">
        <color indexed="64"/>
      </bottom>
      <diagonal/>
    </border>
    <border>
      <left style="thin">
        <color rgb="FFD9D9D9"/>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D9D9D9"/>
      </right>
      <top style="thin">
        <color rgb="FFD9D9D9"/>
      </top>
      <bottom style="thin">
        <color rgb="FFD9D9D9"/>
      </bottom>
      <diagonal/>
    </border>
    <border>
      <left/>
      <right style="medium">
        <color indexed="64"/>
      </right>
      <top/>
      <bottom/>
      <diagonal/>
    </border>
    <border>
      <left style="medium">
        <color indexed="64"/>
      </left>
      <right/>
      <top/>
      <bottom/>
      <diagonal/>
    </border>
    <border>
      <left style="thin">
        <color rgb="FFD9D9D9"/>
      </left>
      <right style="medium">
        <color indexed="64"/>
      </right>
      <top style="thin">
        <color rgb="FFD9D9D9"/>
      </top>
      <bottom style="thin">
        <color rgb="FFD9D9D9"/>
      </bottom>
      <diagonal/>
    </border>
    <border>
      <left style="medium">
        <color indexed="64"/>
      </left>
      <right style="thin">
        <color rgb="FFD9D9D9"/>
      </right>
      <top style="thin">
        <color rgb="FFD9D9D9"/>
      </top>
      <bottom/>
      <diagonal/>
    </border>
    <border>
      <left style="thin">
        <color rgb="FFD9D9D9"/>
      </left>
      <right style="medium">
        <color indexed="64"/>
      </right>
      <top style="thin">
        <color rgb="FFD9D9D9"/>
      </top>
      <bottom/>
      <diagonal/>
    </border>
  </borders>
  <cellStyleXfs count="2">
    <xf numFmtId="0" fontId="0" fillId="0" borderId="0"/>
    <xf numFmtId="44" fontId="5" fillId="0" borderId="0"/>
  </cellStyleXfs>
  <cellXfs count="95">
    <xf numFmtId="0" fontId="0" fillId="0" borderId="0" xfId="0"/>
    <xf numFmtId="0" fontId="0" fillId="0" borderId="1" xfId="0" applyBorder="1" applyAlignment="1">
      <alignment horizontal="left" vertical="center" wrapText="1"/>
    </xf>
    <xf numFmtId="0" fontId="2" fillId="4" borderId="1" xfId="0" applyFont="1" applyFill="1" applyBorder="1" applyAlignment="1">
      <alignment horizontal="center" vertical="center" wrapText="1"/>
    </xf>
    <xf numFmtId="164" fontId="2" fillId="5" borderId="1" xfId="0" applyNumberFormat="1" applyFont="1" applyFill="1" applyBorder="1" applyAlignment="1">
      <alignment horizontal="right" vertical="center" wrapText="1"/>
    </xf>
    <xf numFmtId="0" fontId="0" fillId="0" borderId="1" xfId="0" applyBorder="1" applyAlignment="1">
      <alignment horizontal="center" vertical="center" wrapText="1"/>
    </xf>
    <xf numFmtId="165" fontId="0" fillId="0" borderId="1" xfId="0" applyNumberFormat="1" applyBorder="1" applyAlignment="1">
      <alignment horizontal="right" vertical="center" wrapText="1"/>
    </xf>
    <xf numFmtId="164" fontId="0" fillId="0" borderId="1" xfId="0" applyNumberFormat="1" applyBorder="1" applyAlignment="1">
      <alignment horizontal="right" vertical="center" wrapText="1"/>
    </xf>
    <xf numFmtId="166" fontId="0" fillId="0" borderId="1" xfId="0" applyNumberFormat="1" applyBorder="1" applyAlignment="1">
      <alignment horizontal="right" vertical="center" wrapText="1"/>
    </xf>
    <xf numFmtId="0" fontId="4" fillId="0" borderId="0" xfId="0" applyFont="1" applyAlignment="1">
      <alignment horizontal="center" wrapText="1"/>
    </xf>
    <xf numFmtId="0" fontId="6" fillId="0" borderId="0" xfId="0" applyFont="1"/>
    <xf numFmtId="0" fontId="7" fillId="7" borderId="2" xfId="0" applyFont="1" applyFill="1" applyBorder="1" applyAlignment="1">
      <alignment horizontal="center" vertical="center" wrapText="1"/>
    </xf>
    <xf numFmtId="0" fontId="6" fillId="0" borderId="1" xfId="0" applyFont="1" applyBorder="1" applyAlignment="1">
      <alignment horizontal="left" vertical="center" wrapText="1"/>
    </xf>
    <xf numFmtId="167" fontId="12" fillId="3" borderId="1" xfId="0" applyNumberFormat="1" applyFont="1" applyFill="1" applyBorder="1" applyAlignment="1">
      <alignment horizontal="right" vertical="center" wrapText="1"/>
    </xf>
    <xf numFmtId="0" fontId="6" fillId="0" borderId="2" xfId="0" applyFont="1" applyBorder="1"/>
    <xf numFmtId="44" fontId="12" fillId="3" borderId="1" xfId="1" applyFont="1" applyFill="1" applyBorder="1" applyAlignment="1">
      <alignment horizontal="right" vertical="center" wrapText="1"/>
    </xf>
    <xf numFmtId="167" fontId="14" fillId="6" borderId="1" xfId="0" applyNumberFormat="1" applyFont="1" applyFill="1" applyBorder="1" applyAlignment="1">
      <alignment horizontal="right" vertical="center" wrapText="1"/>
    </xf>
    <xf numFmtId="0" fontId="13" fillId="0" borderId="3" xfId="0" applyFont="1" applyBorder="1"/>
    <xf numFmtId="0" fontId="6" fillId="0" borderId="4" xfId="0" applyFont="1" applyBorder="1"/>
    <xf numFmtId="0" fontId="6" fillId="0" borderId="5" xfId="0" applyFont="1" applyBorder="1"/>
    <xf numFmtId="0" fontId="6" fillId="0" borderId="6" xfId="0" applyFont="1" applyBorder="1"/>
    <xf numFmtId="0" fontId="14" fillId="6" borderId="0" xfId="0" applyFont="1" applyFill="1"/>
    <xf numFmtId="0" fontId="6" fillId="0" borderId="7" xfId="0" applyFont="1" applyBorder="1"/>
    <xf numFmtId="0" fontId="13" fillId="4"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6" fillId="0" borderId="8" xfId="0" applyFont="1" applyBorder="1"/>
    <xf numFmtId="0" fontId="6" fillId="0" borderId="9" xfId="0" applyFont="1" applyBorder="1"/>
    <xf numFmtId="0" fontId="14" fillId="6" borderId="9" xfId="0" applyFont="1" applyFill="1" applyBorder="1"/>
    <xf numFmtId="0" fontId="6" fillId="0" borderId="10" xfId="0" applyFont="1" applyBorder="1"/>
    <xf numFmtId="164" fontId="12" fillId="3" borderId="1" xfId="0" applyNumberFormat="1" applyFont="1" applyFill="1" applyBorder="1" applyAlignment="1">
      <alignment horizontal="right" vertical="center" wrapText="1"/>
    </xf>
    <xf numFmtId="164" fontId="12" fillId="0" borderId="1" xfId="0" applyNumberFormat="1" applyFont="1" applyBorder="1" applyAlignment="1">
      <alignment horizontal="right" vertical="center" wrapText="1"/>
    </xf>
    <xf numFmtId="3" fontId="12" fillId="3" borderId="1" xfId="0" applyNumberFormat="1" applyFont="1" applyFill="1" applyBorder="1" applyAlignment="1">
      <alignment horizontal="right" vertical="center" wrapText="1"/>
    </xf>
    <xf numFmtId="3" fontId="12"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3" fontId="15" fillId="3" borderId="1" xfId="0" applyNumberFormat="1" applyFont="1" applyFill="1" applyBorder="1" applyAlignment="1">
      <alignment horizontal="right" vertical="center" wrapText="1"/>
    </xf>
    <xf numFmtId="3" fontId="15" fillId="0" borderId="1" xfId="0" applyNumberFormat="1" applyFont="1" applyBorder="1" applyAlignment="1">
      <alignment horizontal="right" vertical="center" wrapText="1"/>
    </xf>
    <xf numFmtId="164" fontId="15" fillId="3" borderId="1" xfId="0" applyNumberFormat="1" applyFont="1" applyFill="1" applyBorder="1" applyAlignment="1">
      <alignment horizontal="right" vertical="center" wrapText="1"/>
    </xf>
    <xf numFmtId="2" fontId="12" fillId="3" borderId="1" xfId="0" applyNumberFormat="1" applyFont="1" applyFill="1" applyBorder="1" applyAlignment="1">
      <alignment horizontal="right" vertical="center" wrapText="1"/>
    </xf>
    <xf numFmtId="2" fontId="12" fillId="0" borderId="1" xfId="0" applyNumberFormat="1" applyFont="1" applyBorder="1" applyAlignment="1">
      <alignment horizontal="right" vertical="center" wrapText="1"/>
    </xf>
    <xf numFmtId="167" fontId="14" fillId="0" borderId="1" xfId="0" applyNumberFormat="1" applyFont="1" applyBorder="1" applyAlignment="1">
      <alignment horizontal="right" vertical="center" wrapText="1"/>
    </xf>
    <xf numFmtId="164" fontId="13" fillId="5" borderId="1" xfId="0" applyNumberFormat="1" applyFont="1" applyFill="1" applyBorder="1" applyAlignment="1">
      <alignment horizontal="right" vertical="center" wrapText="1"/>
    </xf>
    <xf numFmtId="164" fontId="13" fillId="0" borderId="1" xfId="0" applyNumberFormat="1" applyFont="1" applyBorder="1" applyAlignment="1">
      <alignment horizontal="right" vertical="center" wrapText="1"/>
    </xf>
    <xf numFmtId="0" fontId="6" fillId="0" borderId="1" xfId="0" applyFont="1" applyBorder="1" applyAlignment="1">
      <alignment horizontal="center" vertical="center" wrapText="1"/>
    </xf>
    <xf numFmtId="164" fontId="13" fillId="0" borderId="11" xfId="0" applyNumberFormat="1" applyFont="1" applyBorder="1" applyAlignment="1">
      <alignment horizontal="right" vertical="center" wrapText="1"/>
    </xf>
    <xf numFmtId="0" fontId="6" fillId="0" borderId="11" xfId="0" applyFont="1" applyBorder="1" applyAlignment="1">
      <alignment horizontal="center" vertical="center" wrapText="1"/>
    </xf>
    <xf numFmtId="0" fontId="6" fillId="0" borderId="12" xfId="0" applyFont="1" applyBorder="1" applyAlignment="1">
      <alignment horizontal="left" vertical="center" wrapText="1"/>
    </xf>
    <xf numFmtId="164" fontId="13" fillId="8" borderId="13" xfId="0" applyNumberFormat="1" applyFont="1" applyFill="1" applyBorder="1" applyAlignment="1">
      <alignment horizontal="right" vertical="center" wrapText="1"/>
    </xf>
    <xf numFmtId="164" fontId="13" fillId="0" borderId="13" xfId="0" applyNumberFormat="1" applyFont="1" applyBorder="1" applyAlignment="1">
      <alignment horizontal="right" vertical="center" wrapText="1"/>
    </xf>
    <xf numFmtId="0" fontId="6" fillId="0" borderId="13" xfId="0" applyFont="1" applyBorder="1" applyAlignment="1">
      <alignment horizontal="center" vertical="center" wrapText="1"/>
    </xf>
    <xf numFmtId="164" fontId="13" fillId="8" borderId="14" xfId="0" applyNumberFormat="1" applyFont="1" applyFill="1" applyBorder="1" applyAlignment="1">
      <alignment horizontal="right" vertical="center" wrapText="1"/>
    </xf>
    <xf numFmtId="0" fontId="17" fillId="0" borderId="0" xfId="0" applyFont="1"/>
    <xf numFmtId="0" fontId="6" fillId="0" borderId="0" xfId="0" applyFont="1" applyAlignment="1">
      <alignment horizontal="left" vertical="center" wrapText="1"/>
    </xf>
    <xf numFmtId="0" fontId="6" fillId="0" borderId="0" xfId="0" applyFont="1"/>
    <xf numFmtId="0" fontId="10" fillId="0" borderId="0" xfId="0" applyFont="1"/>
    <xf numFmtId="0" fontId="9" fillId="0" borderId="0" xfId="0" applyFont="1"/>
    <xf numFmtId="2" fontId="15" fillId="0" borderId="15" xfId="0" applyNumberFormat="1" applyFont="1" applyBorder="1" applyAlignment="1">
      <alignment horizontal="left" vertical="center" wrapText="1"/>
    </xf>
    <xf numFmtId="0" fontId="6" fillId="0" borderId="0" xfId="0" applyFont="1" applyAlignment="1">
      <alignment vertical="top" wrapText="1"/>
    </xf>
    <xf numFmtId="0" fontId="0" fillId="0" borderId="0" xfId="0"/>
    <xf numFmtId="0" fontId="7" fillId="7" borderId="0" xfId="0" applyFont="1" applyFill="1"/>
    <xf numFmtId="0" fontId="8" fillId="0" borderId="0" xfId="0" applyFont="1"/>
    <xf numFmtId="0" fontId="1" fillId="2" borderId="0" xfId="0" applyFont="1" applyFill="1" applyAlignment="1">
      <alignment horizontal="left" vertical="center" wrapText="1"/>
    </xf>
    <xf numFmtId="0" fontId="3" fillId="0" borderId="0" xfId="0" applyFont="1"/>
    <xf numFmtId="0" fontId="11" fillId="2" borderId="16" xfId="0" applyFont="1" applyFill="1" applyBorder="1" applyAlignment="1">
      <alignment horizontal="left" vertical="center" wrapText="1"/>
    </xf>
    <xf numFmtId="0" fontId="6" fillId="0" borderId="17" xfId="0" applyFont="1" applyBorder="1"/>
    <xf numFmtId="0" fontId="6" fillId="0" borderId="18" xfId="0" applyFont="1" applyBorder="1"/>
    <xf numFmtId="0" fontId="6" fillId="0" borderId="19" xfId="0" applyFont="1" applyBorder="1" applyAlignment="1">
      <alignment horizontal="left" vertical="center" wrapText="1"/>
    </xf>
    <xf numFmtId="167" fontId="12" fillId="0" borderId="0" xfId="0" applyNumberFormat="1" applyFont="1" applyBorder="1" applyAlignment="1">
      <alignment horizontal="right" vertical="center" wrapText="1"/>
    </xf>
    <xf numFmtId="0" fontId="6" fillId="0" borderId="0" xfId="0" applyFont="1" applyBorder="1"/>
    <xf numFmtId="0" fontId="6" fillId="0" borderId="20" xfId="0" applyFont="1" applyBorder="1"/>
    <xf numFmtId="0" fontId="6" fillId="0" borderId="21" xfId="0" applyFont="1" applyBorder="1" applyAlignment="1">
      <alignment horizontal="left" vertical="center" wrapText="1"/>
    </xf>
    <xf numFmtId="167" fontId="12" fillId="3" borderId="0" xfId="0" applyNumberFormat="1" applyFont="1" applyFill="1" applyBorder="1" applyAlignment="1">
      <alignment horizontal="right" vertical="center" wrapText="1"/>
    </xf>
    <xf numFmtId="0" fontId="13" fillId="0" borderId="21" xfId="0" applyFont="1" applyBorder="1"/>
    <xf numFmtId="0" fontId="14" fillId="6" borderId="0" xfId="0" applyFont="1" applyFill="1" applyBorder="1" applyAlignment="1">
      <alignment horizontal="center"/>
    </xf>
    <xf numFmtId="0" fontId="14" fillId="0" borderId="0" xfId="0" applyFont="1" applyBorder="1" applyAlignment="1">
      <alignment horizontal="center"/>
    </xf>
    <xf numFmtId="0" fontId="6" fillId="0" borderId="0" xfId="0" applyFont="1" applyBorder="1"/>
    <xf numFmtId="167" fontId="14" fillId="0" borderId="0" xfId="0" applyNumberFormat="1" applyFont="1" applyBorder="1" applyAlignment="1">
      <alignment horizontal="right" vertical="center" wrapText="1"/>
    </xf>
    <xf numFmtId="0" fontId="6" fillId="0" borderId="21" xfId="0" applyFont="1" applyBorder="1"/>
    <xf numFmtId="0" fontId="13" fillId="4" borderId="19" xfId="0" applyFont="1" applyFill="1" applyBorder="1" applyAlignment="1">
      <alignment horizontal="center" vertical="center" wrapText="1"/>
    </xf>
    <xf numFmtId="0" fontId="13" fillId="4" borderId="22" xfId="0" applyFont="1" applyFill="1" applyBorder="1" applyAlignment="1">
      <alignment horizontal="center" vertical="center" wrapText="1"/>
    </xf>
    <xf numFmtId="164" fontId="12" fillId="3" borderId="22" xfId="0" applyNumberFormat="1" applyFont="1" applyFill="1" applyBorder="1" applyAlignment="1">
      <alignment horizontal="right" vertical="center" wrapText="1"/>
    </xf>
    <xf numFmtId="3" fontId="12" fillId="3" borderId="22" xfId="0" applyNumberFormat="1" applyFont="1" applyFill="1" applyBorder="1" applyAlignment="1">
      <alignment horizontal="right" vertical="center" wrapText="1"/>
    </xf>
    <xf numFmtId="0" fontId="16" fillId="0" borderId="19" xfId="0" applyFont="1" applyBorder="1" applyAlignment="1">
      <alignment horizontal="left" vertical="center" wrapText="1"/>
    </xf>
    <xf numFmtId="164" fontId="15" fillId="0" borderId="0" xfId="0" applyNumberFormat="1" applyFont="1" applyBorder="1" applyAlignment="1">
      <alignment horizontal="right" vertical="center" wrapText="1"/>
    </xf>
    <xf numFmtId="0" fontId="16" fillId="0" borderId="0" xfId="0" applyFont="1" applyBorder="1" applyAlignment="1">
      <alignment wrapText="1"/>
    </xf>
    <xf numFmtId="2" fontId="12" fillId="3" borderId="22" xfId="0" applyNumberFormat="1" applyFont="1" applyFill="1" applyBorder="1" applyAlignment="1">
      <alignment horizontal="right" vertical="center" wrapText="1"/>
    </xf>
    <xf numFmtId="167" fontId="14" fillId="6" borderId="22" xfId="0" applyNumberFormat="1" applyFont="1" applyFill="1" applyBorder="1" applyAlignment="1">
      <alignment horizontal="right" vertical="center" wrapText="1"/>
    </xf>
    <xf numFmtId="0" fontId="6" fillId="0" borderId="0" xfId="0" applyFont="1" applyBorder="1" applyAlignment="1">
      <alignment horizontal="left" vertical="center" wrapText="1"/>
    </xf>
    <xf numFmtId="167" fontId="12" fillId="0" borderId="20" xfId="0" applyNumberFormat="1" applyFont="1" applyBorder="1" applyAlignment="1">
      <alignment horizontal="right" vertical="center" wrapText="1"/>
    </xf>
    <xf numFmtId="0" fontId="11" fillId="2" borderId="21" xfId="0" applyFont="1" applyFill="1" applyBorder="1" applyAlignment="1">
      <alignment horizontal="left" vertical="center" wrapText="1"/>
    </xf>
    <xf numFmtId="0" fontId="6" fillId="0" borderId="20" xfId="0" applyFont="1" applyBorder="1"/>
    <xf numFmtId="164" fontId="13" fillId="5" borderId="22" xfId="0" applyNumberFormat="1" applyFont="1" applyFill="1" applyBorder="1" applyAlignment="1">
      <alignment horizontal="right" vertical="center" wrapText="1"/>
    </xf>
    <xf numFmtId="0" fontId="6" fillId="0" borderId="23" xfId="0" applyFont="1" applyBorder="1" applyAlignment="1">
      <alignment horizontal="left" vertical="center" wrapText="1"/>
    </xf>
    <xf numFmtId="164" fontId="19" fillId="5" borderId="1" xfId="0" applyNumberFormat="1" applyFont="1" applyFill="1" applyBorder="1" applyAlignment="1">
      <alignment horizontal="right" vertical="center" wrapText="1"/>
    </xf>
    <xf numFmtId="164" fontId="19" fillId="5" borderId="11" xfId="0" applyNumberFormat="1" applyFont="1" applyFill="1" applyBorder="1" applyAlignment="1">
      <alignment horizontal="right" vertical="center" wrapText="1"/>
    </xf>
    <xf numFmtId="164" fontId="19" fillId="5" borderId="22" xfId="0" applyNumberFormat="1" applyFont="1" applyFill="1" applyBorder="1" applyAlignment="1">
      <alignment horizontal="right" vertical="center" wrapText="1"/>
    </xf>
    <xf numFmtId="164" fontId="19" fillId="5" borderId="24" xfId="0" applyNumberFormat="1" applyFont="1" applyFill="1" applyBorder="1" applyAlignment="1">
      <alignment horizontal="right"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c:style val="2"/>
  <c:chart>
    <c:title>
      <c:tx>
        <c:rich>
          <a:bodyPr/>
          <a:lstStyle/>
          <a:p>
            <a:pPr>
              <a:defRPr/>
            </a:pPr>
            <a:r>
              <a:rPr lang="nl-NL">
                <a:latin typeface="News Gothic MT" panose="020F0502020204030204" pitchFamily="34" charset="0"/>
              </a:rPr>
              <a:t>Cumulatieve</a:t>
            </a:r>
            <a:r>
              <a:rPr lang="nl-NL"/>
              <a:t> kosten (bruto, nominaal)</a:t>
            </a:r>
          </a:p>
        </c:rich>
      </c:tx>
      <c:overlay val="1"/>
    </c:title>
    <c:autoTitleDeleted val="0"/>
    <c:plotArea>
      <c:layout>
        <c:manualLayout>
          <c:layoutTarget val="inner"/>
          <c:xMode val="edge"/>
          <c:yMode val="edge"/>
          <c:x val="0.13097833264330733"/>
          <c:y val="4.2134799563716775E-2"/>
          <c:w val="0.84555289717748305"/>
          <c:h val="0.8627925114673759"/>
        </c:manualLayout>
      </c:layout>
      <c:lineChart>
        <c:grouping val="standard"/>
        <c:varyColors val="1"/>
        <c:ser>
          <c:idx val="0"/>
          <c:order val="0"/>
          <c:tx>
            <c:strRef>
              <c:f>Model!$G$3</c:f>
              <c:strCache>
                <c:ptCount val="1"/>
                <c:pt idx="0">
                  <c:v>Optie A: Cumulatief (€)</c:v>
                </c:pt>
              </c:strCache>
            </c:strRef>
          </c:tx>
          <c:spPr>
            <a:ln>
              <a:prstDash val="solid"/>
            </a:ln>
          </c:spPr>
          <c:marker>
            <c:symbol val="none"/>
          </c:marker>
          <c:cat>
            <c:numRef>
              <c:f>Model!$P$4:$P$54</c:f>
              <c:numCache>
                <c:formatCode>0.000</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numCache>
            </c:numRef>
          </c:cat>
          <c:val>
            <c:numRef>
              <c:f>Model!$Q$4:$Q$54</c:f>
              <c:numCache>
                <c:formatCode>\€\ #,##0</c:formatCode>
                <c:ptCount val="51"/>
                <c:pt idx="0">
                  <c:v>78587.5</c:v>
                </c:pt>
                <c:pt idx="1">
                  <c:v>82326.625</c:v>
                </c:pt>
                <c:pt idx="2">
                  <c:v>86224.123749999999</c:v>
                </c:pt>
                <c:pt idx="3">
                  <c:v>90287.057462500001</c:v>
                </c:pt>
                <c:pt idx="4">
                  <c:v>94522.814686375001</c:v>
                </c:pt>
                <c:pt idx="5">
                  <c:v>98939.126901966258</c:v>
                </c:pt>
                <c:pt idx="6">
                  <c:v>103544.08487277525</c:v>
                </c:pt>
                <c:pt idx="7">
                  <c:v>108346.15579089601</c:v>
                </c:pt>
                <c:pt idx="8">
                  <c:v>113354.20125515727</c:v>
                </c:pt>
                <c:pt idx="9">
                  <c:v>118577.49612287308</c:v>
                </c:pt>
                <c:pt idx="10">
                  <c:v>124025.74827812343</c:v>
                </c:pt>
                <c:pt idx="11">
                  <c:v>129709.11936160948</c:v>
                </c:pt>
                <c:pt idx="12">
                  <c:v>135638.24650935724</c:v>
                </c:pt>
                <c:pt idx="13">
                  <c:v>141824.26514988241</c:v>
                </c:pt>
                <c:pt idx="14">
                  <c:v>148278.83291188555</c:v>
                </c:pt>
                <c:pt idx="15">
                  <c:v>155014.15469712412</c:v>
                </c:pt>
                <c:pt idx="16">
                  <c:v>162043.00897581395</c:v>
                </c:pt>
                <c:pt idx="17">
                  <c:v>169378.77536475327</c:v>
                </c:pt>
                <c:pt idx="18">
                  <c:v>177035.46355134403</c:v>
                </c:pt>
                <c:pt idx="19">
                  <c:v>185027.74362981491</c:v>
                </c:pt>
                <c:pt idx="20">
                  <c:v>193370.97791923644</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numCache>
            </c:numRef>
          </c:val>
          <c:smooth val="1"/>
          <c:extLst>
            <c:ext xmlns:c16="http://schemas.microsoft.com/office/drawing/2014/chart" uri="{C3380CC4-5D6E-409C-BE32-E72D297353CC}">
              <c16:uniqueId val="{00000000-7FA3-48B5-AD60-EC62C9DC64EB}"/>
            </c:ext>
          </c:extLst>
        </c:ser>
        <c:ser>
          <c:idx val="1"/>
          <c:order val="1"/>
          <c:tx>
            <c:strRef>
              <c:f>Model!$N$3</c:f>
              <c:strCache>
                <c:ptCount val="1"/>
                <c:pt idx="0">
                  <c:v>BHS: Cumulatief (€)</c:v>
                </c:pt>
              </c:strCache>
            </c:strRef>
          </c:tx>
          <c:spPr>
            <a:ln>
              <a:prstDash val="solid"/>
            </a:ln>
          </c:spPr>
          <c:marker>
            <c:symbol val="none"/>
          </c:marker>
          <c:cat>
            <c:numRef>
              <c:f>Model!$P$4:$P$54</c:f>
              <c:numCache>
                <c:formatCode>0.000</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numCache>
            </c:numRef>
          </c:cat>
          <c:val>
            <c:numRef>
              <c:f>Model!$R$4:$R$54</c:f>
              <c:numCache>
                <c:formatCode>\€\ #,##0</c:formatCode>
                <c:ptCount val="51"/>
                <c:pt idx="0">
                  <c:v>126443.9</c:v>
                </c:pt>
                <c:pt idx="1">
                  <c:v>127949.117</c:v>
                </c:pt>
                <c:pt idx="2">
                  <c:v>129518.39051</c:v>
                </c:pt>
                <c:pt idx="3">
                  <c:v>131154.5872253</c:v>
                </c:pt>
                <c:pt idx="4">
                  <c:v>132860.70709205899</c:v>
                </c:pt>
                <c:pt idx="5">
                  <c:v>134639.88966732076</c:v>
                </c:pt>
                <c:pt idx="6">
                  <c:v>136495.42078796538</c:v>
                </c:pt>
                <c:pt idx="7">
                  <c:v>138430.73956376061</c:v>
                </c:pt>
                <c:pt idx="8">
                  <c:v>140449.44571043749</c:v>
                </c:pt>
                <c:pt idx="9">
                  <c:v>142555.30723950287</c:v>
                </c:pt>
                <c:pt idx="10">
                  <c:v>144752.26852232782</c:v>
                </c:pt>
                <c:pt idx="11">
                  <c:v>147044.45874691952</c:v>
                </c:pt>
                <c:pt idx="12">
                  <c:v>149436.20078669509</c:v>
                </c:pt>
                <c:pt idx="13">
                  <c:v>151932.0205015323</c:v>
                </c:pt>
                <c:pt idx="14">
                  <c:v>154536.65649237647</c:v>
                </c:pt>
                <c:pt idx="15">
                  <c:v>157255.07033173586</c:v>
                </c:pt>
                <c:pt idx="16">
                  <c:v>160092.45729350543</c:v>
                </c:pt>
                <c:pt idx="17">
                  <c:v>163054.25760671898</c:v>
                </c:pt>
                <c:pt idx="18">
                  <c:v>166146.16825904933</c:v>
                </c:pt>
                <c:pt idx="19">
                  <c:v>169374.15537715604</c:v>
                </c:pt>
                <c:pt idx="20">
                  <c:v>172744.46721232272</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numCache>
            </c:numRef>
          </c:val>
          <c:smooth val="1"/>
          <c:extLst>
            <c:ext xmlns:c16="http://schemas.microsoft.com/office/drawing/2014/chart" uri="{C3380CC4-5D6E-409C-BE32-E72D297353CC}">
              <c16:uniqueId val="{00000001-7FA3-48B5-AD60-EC62C9DC64EB}"/>
            </c:ext>
          </c:extLst>
        </c:ser>
        <c:dLbls>
          <c:showLegendKey val="0"/>
          <c:showVal val="0"/>
          <c:showCatName val="0"/>
          <c:showSerName val="0"/>
          <c:showPercent val="0"/>
          <c:showBubbleSize val="0"/>
        </c:dLbls>
        <c:smooth val="0"/>
        <c:axId val="48650112"/>
        <c:axId val="48672768"/>
      </c:lineChart>
      <c:catAx>
        <c:axId val="48650112"/>
        <c:scaling>
          <c:orientation val="minMax"/>
        </c:scaling>
        <c:delete val="0"/>
        <c:axPos val="b"/>
        <c:numFmt formatCode="0" sourceLinked="0"/>
        <c:majorTickMark val="in"/>
        <c:minorTickMark val="none"/>
        <c:tickLblPos val="low"/>
        <c:spPr>
          <a:ln/>
        </c:spPr>
        <c:txPr>
          <a:bodyPr rot="0" vert="horz"/>
          <a:lstStyle/>
          <a:p>
            <a:pPr>
              <a:defRPr/>
            </a:pPr>
            <a:endParaRPr lang="nl-NL"/>
          </a:p>
        </c:txPr>
        <c:crossAx val="48672768"/>
        <c:crosses val="autoZero"/>
        <c:auto val="1"/>
        <c:lblAlgn val="ctr"/>
        <c:lblOffset val="100"/>
        <c:noMultiLvlLbl val="0"/>
      </c:catAx>
      <c:valAx>
        <c:axId val="48672768"/>
        <c:scaling>
          <c:orientation val="minMax"/>
        </c:scaling>
        <c:delete val="0"/>
        <c:axPos val="l"/>
        <c:numFmt formatCode="\€\ #,##0" sourceLinked="1"/>
        <c:majorTickMark val="none"/>
        <c:minorTickMark val="none"/>
        <c:tickLblPos val="nextTo"/>
        <c:crossAx val="48650112"/>
        <c:crosses val="autoZero"/>
        <c:crossBetween val="between"/>
      </c:valAx>
    </c:plotArea>
    <c:legend>
      <c:legendPos val="r"/>
      <c:layout>
        <c:manualLayout>
          <c:xMode val="edge"/>
          <c:yMode val="edge"/>
          <c:x val="0.68451101592756936"/>
          <c:y val="0.73051844989964476"/>
          <c:w val="0.28872776082142826"/>
          <c:h val="0.11906438165817508"/>
        </c:manualLayout>
      </c:layout>
      <c:overlay val="1"/>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nl-NL">
                <a:latin typeface="Rubik"/>
              </a:rPr>
              <a:t>Cumulatieve kosten (netto, nominaal)</a:t>
            </a:r>
          </a:p>
        </c:rich>
      </c:tx>
      <c:overlay val="1"/>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nl-NL"/>
        </a:p>
      </c:txPr>
    </c:title>
    <c:autoTitleDeleted val="0"/>
    <c:plotArea>
      <c:layout/>
      <c:lineChart>
        <c:grouping val="standard"/>
        <c:varyColors val="1"/>
        <c:ser>
          <c:idx val="0"/>
          <c:order val="0"/>
          <c:tx>
            <c:strRef>
              <c:f>Model!$G$3</c:f>
              <c:strCache>
                <c:ptCount val="1"/>
                <c:pt idx="0">
                  <c:v>Optie A: Cumulatief (€)</c:v>
                </c:pt>
              </c:strCache>
            </c:strRef>
          </c:tx>
          <c:spPr>
            <a:ln w="28575" cap="rnd">
              <a:solidFill>
                <a:schemeClr val="accent1">
                  <a:shade val="95000"/>
                  <a:satMod val="105000"/>
                </a:schemeClr>
              </a:solidFill>
              <a:prstDash val="solid"/>
              <a:round/>
            </a:ln>
            <a:effectLst/>
          </c:spPr>
          <c:marker>
            <c:symbol val="none"/>
          </c:marker>
          <c:cat>
            <c:numRef>
              <c:f>Model!$P$4:$P$54</c:f>
              <c:numCache>
                <c:formatCode>0.000</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numCache>
            </c:numRef>
          </c:cat>
          <c:val>
            <c:numRef>
              <c:f>Model!$S$4:$S$54</c:f>
              <c:numCache>
                <c:formatCode>General</c:formatCode>
                <c:ptCount val="51"/>
                <c:pt idx="0">
                  <c:v>78587.5</c:v>
                </c:pt>
                <c:pt idx="1">
                  <c:v>82326.625</c:v>
                </c:pt>
                <c:pt idx="2">
                  <c:v>86224.123749999999</c:v>
                </c:pt>
                <c:pt idx="3">
                  <c:v>90287.057462500001</c:v>
                </c:pt>
                <c:pt idx="4">
                  <c:v>94522.814686375001</c:v>
                </c:pt>
                <c:pt idx="5">
                  <c:v>98939.126901966258</c:v>
                </c:pt>
                <c:pt idx="6">
                  <c:v>103544.08487277525</c:v>
                </c:pt>
                <c:pt idx="7">
                  <c:v>108346.15579089601</c:v>
                </c:pt>
                <c:pt idx="8">
                  <c:v>113354.20125515727</c:v>
                </c:pt>
                <c:pt idx="9">
                  <c:v>118577.49612287308</c:v>
                </c:pt>
                <c:pt idx="10">
                  <c:v>124025.74827812343</c:v>
                </c:pt>
                <c:pt idx="11">
                  <c:v>129709.11936160948</c:v>
                </c:pt>
                <c:pt idx="12">
                  <c:v>135638.24650935724</c:v>
                </c:pt>
                <c:pt idx="13">
                  <c:v>141824.26514988241</c:v>
                </c:pt>
                <c:pt idx="14">
                  <c:v>148278.83291188555</c:v>
                </c:pt>
                <c:pt idx="15">
                  <c:v>155014.15469712412</c:v>
                </c:pt>
                <c:pt idx="16">
                  <c:v>162043.00897581395</c:v>
                </c:pt>
                <c:pt idx="17">
                  <c:v>169378.77536475327</c:v>
                </c:pt>
                <c:pt idx="18">
                  <c:v>177035.46355134403</c:v>
                </c:pt>
                <c:pt idx="19">
                  <c:v>185027.74362981491</c:v>
                </c:pt>
                <c:pt idx="20">
                  <c:v>193370.97791923644</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numCache>
            </c:numRef>
          </c:val>
          <c:smooth val="1"/>
          <c:extLst>
            <c:ext xmlns:c16="http://schemas.microsoft.com/office/drawing/2014/chart" uri="{C3380CC4-5D6E-409C-BE32-E72D297353CC}">
              <c16:uniqueId val="{00000000-B79B-4CE3-B0DB-F50E4FA067D0}"/>
            </c:ext>
          </c:extLst>
        </c:ser>
        <c:ser>
          <c:idx val="1"/>
          <c:order val="1"/>
          <c:tx>
            <c:strRef>
              <c:f>Model!$N$3</c:f>
              <c:strCache>
                <c:ptCount val="1"/>
                <c:pt idx="0">
                  <c:v>BHS: Cumulatief (€)</c:v>
                </c:pt>
              </c:strCache>
            </c:strRef>
          </c:tx>
          <c:spPr>
            <a:ln w="28575" cap="rnd">
              <a:solidFill>
                <a:schemeClr val="accent2">
                  <a:shade val="95000"/>
                  <a:satMod val="105000"/>
                </a:schemeClr>
              </a:solidFill>
              <a:prstDash val="solid"/>
              <a:round/>
            </a:ln>
            <a:effectLst/>
          </c:spPr>
          <c:marker>
            <c:symbol val="none"/>
          </c:marker>
          <c:cat>
            <c:numRef>
              <c:f>Model!$P$4:$P$54</c:f>
              <c:numCache>
                <c:formatCode>0.000</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numCache>
            </c:numRef>
          </c:cat>
          <c:val>
            <c:numRef>
              <c:f>Model!$T$4:$T$54</c:f>
              <c:numCache>
                <c:formatCode>\€\ #,##0</c:formatCode>
                <c:ptCount val="51"/>
                <c:pt idx="0">
                  <c:v>126443.9</c:v>
                </c:pt>
                <c:pt idx="1">
                  <c:v>127949.117</c:v>
                </c:pt>
                <c:pt idx="2">
                  <c:v>129518.39051</c:v>
                </c:pt>
                <c:pt idx="3">
                  <c:v>131154.5872253</c:v>
                </c:pt>
                <c:pt idx="4">
                  <c:v>132860.70709205899</c:v>
                </c:pt>
                <c:pt idx="5">
                  <c:v>134639.88966732076</c:v>
                </c:pt>
                <c:pt idx="6">
                  <c:v>136495.42078796538</c:v>
                </c:pt>
                <c:pt idx="7">
                  <c:v>138430.73956376061</c:v>
                </c:pt>
                <c:pt idx="8">
                  <c:v>140449.44571043749</c:v>
                </c:pt>
                <c:pt idx="9">
                  <c:v>142555.30723950287</c:v>
                </c:pt>
                <c:pt idx="10">
                  <c:v>144752.26852232782</c:v>
                </c:pt>
                <c:pt idx="11">
                  <c:v>147044.45874691952</c:v>
                </c:pt>
                <c:pt idx="12">
                  <c:v>149436.20078669509</c:v>
                </c:pt>
                <c:pt idx="13">
                  <c:v>151932.0205015323</c:v>
                </c:pt>
                <c:pt idx="14">
                  <c:v>154536.65649237647</c:v>
                </c:pt>
                <c:pt idx="15">
                  <c:v>157255.07033173586</c:v>
                </c:pt>
                <c:pt idx="16">
                  <c:v>160092.45729350543</c:v>
                </c:pt>
                <c:pt idx="17">
                  <c:v>163054.25760671898</c:v>
                </c:pt>
                <c:pt idx="18">
                  <c:v>166146.16825904933</c:v>
                </c:pt>
                <c:pt idx="19">
                  <c:v>169374.15537715604</c:v>
                </c:pt>
                <c:pt idx="20">
                  <c:v>172744.46721232272</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numCache>
            </c:numRef>
          </c:val>
          <c:smooth val="1"/>
          <c:extLst>
            <c:ext xmlns:c16="http://schemas.microsoft.com/office/drawing/2014/chart" uri="{C3380CC4-5D6E-409C-BE32-E72D297353CC}">
              <c16:uniqueId val="{00000001-B79B-4CE3-B0DB-F50E4FA067D0}"/>
            </c:ext>
          </c:extLst>
        </c:ser>
        <c:dLbls>
          <c:showLegendKey val="0"/>
          <c:showVal val="0"/>
          <c:showCatName val="0"/>
          <c:showSerName val="0"/>
          <c:showPercent val="0"/>
          <c:showBubbleSize val="0"/>
        </c:dLbls>
        <c:smooth val="0"/>
        <c:axId val="48650112"/>
        <c:axId val="48672768"/>
        <c:extLst>
          <c:ext xmlns:c15="http://schemas.microsoft.com/office/drawing/2012/chart" uri="{02D57815-91ED-43cb-92C2-25804820EDAC}">
            <c15:filteredLineSeries>
              <c15:ser>
                <c:idx val="2"/>
                <c:order val="2"/>
                <c:tx>
                  <c:v>Restwaarde Optie A</c:v>
                </c:tx>
                <c:spPr>
                  <a:ln w="28575" cap="rnd">
                    <a:solidFill>
                      <a:schemeClr val="accent3">
                        <a:shade val="95000"/>
                        <a:satMod val="105000"/>
                      </a:schemeClr>
                    </a:solidFill>
                    <a:prstDash val="solid"/>
                    <a:round/>
                  </a:ln>
                  <a:effectLst/>
                </c:spPr>
                <c:marker>
                  <c:symbol val="none"/>
                </c:marker>
                <c:cat>
                  <c:numRef>
                    <c:extLst>
                      <c:ext uri="{02D57815-91ED-43cb-92C2-25804820EDAC}">
                        <c15:formulaRef>
                          <c15:sqref>Model!$P$4:$P$54</c15:sqref>
                        </c15:formulaRef>
                      </c:ext>
                    </c:extLst>
                    <c:numCache>
                      <c:formatCode>0.000</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numCache>
                  </c:numRef>
                </c:cat>
                <c:val>
                  <c:numRef>
                    <c:extLst>
                      <c:ext uri="{02D57815-91ED-43cb-92C2-25804820EDAC}">
                        <c15:formulaRef>
                          <c15:sqref>Model!$U$4:$U$54</c15:sqref>
                        </c15:formulaRef>
                      </c:ext>
                    </c:extLst>
                    <c:numCache>
                      <c:formatCode>\€\ #,##0</c:formatCode>
                      <c:ptCount val="5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7500</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numCache>
                  </c:numRef>
                </c:val>
                <c:smooth val="1"/>
                <c:extLst>
                  <c:ext xmlns:c16="http://schemas.microsoft.com/office/drawing/2014/chart" uri="{C3380CC4-5D6E-409C-BE32-E72D297353CC}">
                    <c16:uniqueId val="{00000002-B79B-4CE3-B0DB-F50E4FA067D0}"/>
                  </c:ext>
                </c:extLst>
              </c15:ser>
            </c15:filteredLineSeries>
            <c15:filteredLineSeries>
              <c15:ser>
                <c:idx val="3"/>
                <c:order val="3"/>
                <c:tx>
                  <c:v>Restwaarde BHS</c:v>
                </c:tx>
                <c:spPr>
                  <a:ln w="28575" cap="rnd">
                    <a:solidFill>
                      <a:schemeClr val="accent4">
                        <a:shade val="95000"/>
                        <a:satMod val="105000"/>
                      </a:schemeClr>
                    </a:solidFill>
                    <a:prstDash val="solid"/>
                    <a:round/>
                  </a:ln>
                  <a:effectLst/>
                </c:spPr>
                <c:marker>
                  <c:symbol val="none"/>
                </c:marker>
                <c:cat>
                  <c:numRef>
                    <c:extLst>
                      <c:ext xmlns:c15="http://schemas.microsoft.com/office/drawing/2012/chart" uri="{02D57815-91ED-43cb-92C2-25804820EDAC}">
                        <c15:formulaRef>
                          <c15:sqref>Model!$P$4:$P$54</c15:sqref>
                        </c15:formulaRef>
                      </c:ext>
                    </c:extLst>
                    <c:numCache>
                      <c:formatCode>0.000</c:formatCode>
                      <c:ptCount val="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numCache>
                  </c:numRef>
                </c:cat>
                <c:val>
                  <c:numRef>
                    <c:extLst>
                      <c:ext xmlns:c15="http://schemas.microsoft.com/office/drawing/2012/chart" uri="{02D57815-91ED-43cb-92C2-25804820EDAC}">
                        <c15:formulaRef>
                          <c15:sqref>Model!$V$4:$V$54</c15:sqref>
                        </c15:formulaRef>
                      </c:ext>
                    </c:extLst>
                    <c:numCache>
                      <c:formatCode>\€\ #,##0</c:formatCode>
                      <c:ptCount val="5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62500</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numCache>
                  </c:numRef>
                </c:val>
                <c:smooth val="1"/>
                <c:extLst>
                  <c:ext xmlns:c16="http://schemas.microsoft.com/office/drawing/2014/chart" uri="{C3380CC4-5D6E-409C-BE32-E72D297353CC}">
                    <c16:uniqueId val="{00000003-B79B-4CE3-B0DB-F50E4FA067D0}"/>
                  </c:ext>
                </c:extLst>
              </c15:ser>
            </c15:filteredLineSeries>
          </c:ext>
        </c:extLst>
      </c:lineChart>
      <c:catAx>
        <c:axId val="48650112"/>
        <c:scaling>
          <c:orientation val="minMax"/>
        </c:scaling>
        <c:delete val="0"/>
        <c:axPos val="b"/>
        <c:numFmt formatCode="0" sourceLinked="0"/>
        <c:majorTickMark val="in"/>
        <c:minorTickMark val="none"/>
        <c:tickLblPos val="nextTo"/>
        <c:spPr>
          <a:noFill/>
          <a:ln w="9525">
            <a:solidFill>
              <a:schemeClr val="tx1">
                <a:shade val="95000"/>
                <a:satMod val="105000"/>
              </a:schemeClr>
            </a:solidFill>
            <a:prstDash val="solid"/>
            <a:round/>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nl-NL"/>
          </a:p>
        </c:txPr>
        <c:crossAx val="48672768"/>
        <c:crosses val="autoZero"/>
        <c:auto val="1"/>
        <c:lblAlgn val="ctr"/>
        <c:lblOffset val="100"/>
        <c:noMultiLvlLbl val="0"/>
      </c:catAx>
      <c:valAx>
        <c:axId val="48672768"/>
        <c:scaling>
          <c:orientation val="minMax"/>
        </c:scaling>
        <c:delete val="0"/>
        <c:axPos val="l"/>
        <c:numFmt formatCode="&quot;€&quot;\ #,##0" sourceLinked="0"/>
        <c:majorTickMark val="none"/>
        <c:minorTickMark val="none"/>
        <c:tickLblPos val="nextTo"/>
        <c:spPr>
          <a:noFill/>
          <a:ln w="9525">
            <a:solidFill>
              <a:schemeClr val="tx1">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nl-NL"/>
          </a:p>
        </c:txPr>
        <c:crossAx val="48650112"/>
        <c:crosses val="autoZero"/>
        <c:crossBetween val="between"/>
      </c:valAx>
      <c:spPr>
        <a:solidFill>
          <a:schemeClr val="bg1"/>
        </a:solidFill>
        <a:ln>
          <a:noFill/>
        </a:ln>
        <a:effectLst/>
      </c:spPr>
    </c:plotArea>
    <c:legend>
      <c:legendPos val="r"/>
      <c:layout>
        <c:manualLayout>
          <c:xMode val="edge"/>
          <c:yMode val="edge"/>
          <c:x val="0.7102957600098645"/>
          <c:y val="0.72973991963560891"/>
          <c:w val="0.27038066550406031"/>
          <c:h val="0.11935916426288298"/>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nl-NL"/>
        </a:p>
      </c:txPr>
    </c:legend>
    <c:plotVisOnly val="1"/>
    <c:dispBlanksAs val="gap"/>
    <c:showDLblsOverMax val="1"/>
  </c:chart>
  <c:spPr>
    <a:solidFill>
      <a:schemeClr val="bg1"/>
    </a:solidFill>
    <a:ln w="9525">
      <a:solidFill>
        <a:schemeClr val="tx1">
          <a:tint val="75000"/>
          <a:shade val="95000"/>
          <a:satMod val="105000"/>
        </a:schemeClr>
      </a:solidFill>
      <a:prstDash val="solid"/>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397593</xdr:colOff>
      <xdr:row>0</xdr:row>
      <xdr:rowOff>57150</xdr:rowOff>
    </xdr:from>
    <xdr:to>
      <xdr:col>7</xdr:col>
      <xdr:colOff>1209675</xdr:colOff>
      <xdr:row>0</xdr:row>
      <xdr:rowOff>932995</xdr:rowOff>
    </xdr:to>
    <xdr:pic>
      <xdr:nvPicPr>
        <xdr:cNvPr id="3" name="Afbeelding 2">
          <a:extLst>
            <a:ext uri="{FF2B5EF4-FFF2-40B4-BE49-F238E27FC236}">
              <a16:creationId xmlns:a16="http://schemas.microsoft.com/office/drawing/2014/main" id="{D7C80440-D389-7E25-9841-37147A124A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79593" y="57150"/>
          <a:ext cx="2069382" cy="875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35</xdr:row>
      <xdr:rowOff>133350</xdr:rowOff>
    </xdr:from>
    <xdr:to>
      <xdr:col>3</xdr:col>
      <xdr:colOff>19051</xdr:colOff>
      <xdr:row>53</xdr:row>
      <xdr:rowOff>114300</xdr:rowOff>
    </xdr:to>
    <xdr:graphicFrame macro="">
      <xdr:nvGraphicFramePr>
        <xdr:cNvPr id="2" name="Chart 2">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473075</xdr:colOff>
      <xdr:row>35</xdr:row>
      <xdr:rowOff>149225</xdr:rowOff>
    </xdr:from>
    <xdr:ext cx="5880100" cy="3222625"/>
    <xdr:graphicFrame macro="">
      <xdr:nvGraphicFramePr>
        <xdr:cNvPr id="3" name="Chart 1">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twoCellAnchor editAs="oneCell">
    <xdr:from>
      <xdr:col>3</xdr:col>
      <xdr:colOff>4778375</xdr:colOff>
      <xdr:row>0</xdr:row>
      <xdr:rowOff>47625</xdr:rowOff>
    </xdr:from>
    <xdr:to>
      <xdr:col>4</xdr:col>
      <xdr:colOff>1208957</xdr:colOff>
      <xdr:row>3</xdr:row>
      <xdr:rowOff>93805</xdr:rowOff>
    </xdr:to>
    <xdr:pic>
      <xdr:nvPicPr>
        <xdr:cNvPr id="4" name="Afbeelding 3">
          <a:extLst>
            <a:ext uri="{FF2B5EF4-FFF2-40B4-BE49-F238E27FC236}">
              <a16:creationId xmlns:a16="http://schemas.microsoft.com/office/drawing/2014/main" id="{28879F25-F910-4574-A1C8-929F9D66F1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607675" y="47625"/>
          <a:ext cx="1605832" cy="67483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
  <sheetViews>
    <sheetView workbookViewId="0">
      <selection activeCell="A4" sqref="A4:H4"/>
    </sheetView>
  </sheetViews>
  <sheetFormatPr defaultRowHeight="14.5"/>
  <cols>
    <col min="1" max="1" width="30" customWidth="1"/>
    <col min="2" max="8" width="18" customWidth="1"/>
  </cols>
  <sheetData>
    <row r="1" spans="1:8" ht="74" customHeight="1">
      <c r="A1" s="58" t="s">
        <v>91</v>
      </c>
      <c r="B1" s="56"/>
      <c r="C1" s="56"/>
      <c r="D1" s="56"/>
      <c r="E1" s="56"/>
      <c r="F1" s="56"/>
      <c r="G1" s="56"/>
      <c r="H1" s="56"/>
    </row>
    <row r="2" spans="1:8">
      <c r="A2" s="9"/>
      <c r="B2" s="9"/>
      <c r="C2" s="9"/>
      <c r="D2" s="9"/>
      <c r="E2" s="9"/>
      <c r="F2" s="9"/>
      <c r="G2" s="9"/>
      <c r="H2" s="9"/>
    </row>
    <row r="3" spans="1:8">
      <c r="A3" s="57" t="s">
        <v>45</v>
      </c>
      <c r="B3" s="56"/>
      <c r="C3" s="56"/>
      <c r="D3" s="56"/>
      <c r="E3" s="56"/>
      <c r="F3" s="56"/>
      <c r="G3" s="56"/>
      <c r="H3" s="56"/>
    </row>
    <row r="4" spans="1:8" ht="44.5" customHeight="1">
      <c r="A4" s="55" t="s">
        <v>46</v>
      </c>
      <c r="B4" s="56"/>
      <c r="C4" s="56"/>
      <c r="D4" s="56"/>
      <c r="E4" s="56"/>
      <c r="F4" s="56"/>
      <c r="G4" s="56"/>
      <c r="H4" s="56"/>
    </row>
    <row r="5" spans="1:8">
      <c r="A5" s="57" t="s">
        <v>47</v>
      </c>
      <c r="B5" s="56"/>
      <c r="C5" s="56"/>
      <c r="D5" s="56"/>
      <c r="E5" s="56"/>
      <c r="F5" s="56"/>
      <c r="G5" s="56"/>
      <c r="H5" s="56"/>
    </row>
    <row r="6" spans="1:8" ht="50" customHeight="1">
      <c r="A6" s="55" t="s">
        <v>48</v>
      </c>
      <c r="B6" s="56"/>
      <c r="C6" s="56"/>
      <c r="D6" s="56"/>
      <c r="E6" s="56"/>
      <c r="F6" s="56"/>
      <c r="G6" s="56"/>
      <c r="H6" s="56"/>
    </row>
    <row r="7" spans="1:8">
      <c r="A7" s="57" t="s">
        <v>49</v>
      </c>
      <c r="B7" s="56"/>
      <c r="C7" s="56"/>
      <c r="D7" s="56"/>
      <c r="E7" s="56"/>
      <c r="F7" s="56"/>
      <c r="G7" s="56"/>
      <c r="H7" s="56"/>
    </row>
    <row r="8" spans="1:8" ht="40" customHeight="1">
      <c r="A8" s="55" t="s">
        <v>50</v>
      </c>
      <c r="B8" s="56"/>
      <c r="C8" s="56"/>
      <c r="D8" s="56"/>
      <c r="E8" s="56"/>
      <c r="F8" s="56"/>
      <c r="G8" s="56"/>
      <c r="H8" s="56"/>
    </row>
    <row r="9" spans="1:8">
      <c r="A9" s="57" t="s">
        <v>51</v>
      </c>
      <c r="B9" s="56"/>
      <c r="C9" s="56"/>
      <c r="D9" s="56"/>
      <c r="E9" s="56"/>
      <c r="F9" s="56"/>
      <c r="G9" s="56"/>
      <c r="H9" s="56"/>
    </row>
    <row r="10" spans="1:8" ht="35" customHeight="1">
      <c r="A10" s="55" t="s">
        <v>92</v>
      </c>
      <c r="B10" s="56"/>
      <c r="C10" s="56"/>
      <c r="D10" s="56"/>
      <c r="E10" s="56"/>
      <c r="F10" s="56"/>
      <c r="G10" s="56"/>
      <c r="H10" s="56"/>
    </row>
    <row r="11" spans="1:8">
      <c r="A11" s="57" t="s">
        <v>52</v>
      </c>
      <c r="B11" s="56"/>
      <c r="C11" s="56"/>
      <c r="D11" s="56"/>
      <c r="E11" s="56"/>
      <c r="F11" s="56"/>
      <c r="G11" s="56"/>
      <c r="H11" s="56"/>
    </row>
    <row r="12" spans="1:8" ht="45.5" customHeight="1">
      <c r="A12" s="55" t="s">
        <v>93</v>
      </c>
      <c r="B12" s="56"/>
      <c r="C12" s="56"/>
      <c r="D12" s="56"/>
      <c r="E12" s="56"/>
      <c r="F12" s="56"/>
      <c r="G12" s="56"/>
      <c r="H12" s="56"/>
    </row>
  </sheetData>
  <mergeCells count="11">
    <mergeCell ref="A12:H12"/>
    <mergeCell ref="A4:H4"/>
    <mergeCell ref="A9:H9"/>
    <mergeCell ref="A3:H3"/>
    <mergeCell ref="A1:H1"/>
    <mergeCell ref="A7:H7"/>
    <mergeCell ref="A10:H10"/>
    <mergeCell ref="A11:H11"/>
    <mergeCell ref="A5:H5"/>
    <mergeCell ref="A8:H8"/>
    <mergeCell ref="A6:H6"/>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8"/>
  <sheetViews>
    <sheetView showGridLines="0" tabSelected="1" workbookViewId="0">
      <selection activeCell="D7" sqref="D7"/>
    </sheetView>
  </sheetViews>
  <sheetFormatPr defaultRowHeight="14"/>
  <cols>
    <col min="1" max="1" width="61.26953125" style="9" customWidth="1"/>
    <col min="2" max="2" width="18" style="9" customWidth="1"/>
    <col min="3" max="3" width="4.1796875" style="9" customWidth="1"/>
    <col min="4" max="4" width="74.08984375" style="9" customWidth="1"/>
    <col min="5" max="5" width="18" style="9" customWidth="1"/>
    <col min="6" max="6" width="8.7265625" style="9" customWidth="1"/>
    <col min="7" max="7" width="13.26953125" style="9" customWidth="1"/>
    <col min="8" max="8" width="12.54296875" style="9" customWidth="1"/>
    <col min="9" max="9" width="12.08984375" style="9" customWidth="1"/>
    <col min="10" max="10" width="9.26953125" style="9" customWidth="1"/>
    <col min="11" max="11" width="17.90625" style="9" customWidth="1"/>
    <col min="12" max="12" width="12.36328125" style="9" customWidth="1"/>
    <col min="13" max="13" width="8.7265625" style="9" customWidth="1"/>
    <col min="14" max="16384" width="8.7265625" style="9"/>
  </cols>
  <sheetData>
    <row r="1" spans="1:12" ht="21" customHeight="1">
      <c r="A1" s="53" t="s">
        <v>90</v>
      </c>
      <c r="B1" s="51"/>
      <c r="C1" s="51"/>
      <c r="D1" s="51"/>
      <c r="E1" s="51"/>
    </row>
    <row r="2" spans="1:12">
      <c r="A2" s="52" t="s">
        <v>0</v>
      </c>
      <c r="B2" s="51"/>
      <c r="C2" s="51"/>
      <c r="D2" s="51"/>
      <c r="E2" s="51"/>
    </row>
    <row r="4" spans="1:12" ht="14.5" thickBot="1"/>
    <row r="5" spans="1:12" ht="28" customHeight="1">
      <c r="A5" s="61" t="s">
        <v>1</v>
      </c>
      <c r="B5" s="62"/>
      <c r="C5" s="62"/>
      <c r="D5" s="62"/>
      <c r="E5" s="63"/>
      <c r="G5" s="10" t="s">
        <v>2</v>
      </c>
      <c r="H5" s="10" t="s">
        <v>3</v>
      </c>
      <c r="I5" s="10" t="s">
        <v>88</v>
      </c>
      <c r="J5" s="10" t="s">
        <v>4</v>
      </c>
      <c r="K5" s="10" t="s">
        <v>5</v>
      </c>
      <c r="L5" s="10" t="s">
        <v>6</v>
      </c>
    </row>
    <row r="6" spans="1:12">
      <c r="A6" s="64" t="s">
        <v>7</v>
      </c>
      <c r="B6" s="12">
        <v>20</v>
      </c>
      <c r="C6" s="65"/>
      <c r="D6" s="66"/>
      <c r="E6" s="67"/>
      <c r="G6" s="13" t="s">
        <v>8</v>
      </c>
      <c r="H6" s="13">
        <v>2</v>
      </c>
      <c r="I6" s="13">
        <v>3</v>
      </c>
      <c r="J6" s="13">
        <v>8</v>
      </c>
      <c r="K6" s="13">
        <v>20</v>
      </c>
      <c r="L6" s="13">
        <v>60</v>
      </c>
    </row>
    <row r="7" spans="1:12">
      <c r="A7" s="68"/>
      <c r="B7" s="69"/>
      <c r="C7" s="65"/>
      <c r="D7" s="66"/>
      <c r="E7" s="67"/>
      <c r="G7" s="13" t="s">
        <v>9</v>
      </c>
      <c r="H7" s="13">
        <v>3</v>
      </c>
      <c r="I7" s="13">
        <v>5</v>
      </c>
      <c r="J7" s="13">
        <v>6</v>
      </c>
      <c r="K7" s="13">
        <v>10</v>
      </c>
      <c r="L7" s="13">
        <v>50</v>
      </c>
    </row>
    <row r="8" spans="1:12">
      <c r="A8" s="70" t="s">
        <v>87</v>
      </c>
      <c r="B8" s="71" t="s">
        <v>9</v>
      </c>
      <c r="C8" s="72"/>
      <c r="D8" s="66"/>
      <c r="E8" s="67"/>
      <c r="G8" s="13" t="s">
        <v>10</v>
      </c>
      <c r="H8" s="13">
        <v>6</v>
      </c>
      <c r="I8" s="13">
        <v>6</v>
      </c>
      <c r="J8" s="13">
        <v>5</v>
      </c>
      <c r="K8" s="13">
        <v>0</v>
      </c>
      <c r="L8" s="13">
        <v>40</v>
      </c>
    </row>
    <row r="9" spans="1:12">
      <c r="A9" s="64" t="s">
        <v>11</v>
      </c>
      <c r="B9" s="14">
        <v>0.3</v>
      </c>
      <c r="C9" s="54" t="s">
        <v>12</v>
      </c>
      <c r="D9" s="73"/>
      <c r="E9" s="67"/>
    </row>
    <row r="10" spans="1:12">
      <c r="A10" s="64" t="s">
        <v>13</v>
      </c>
      <c r="B10" s="15">
        <f>IF($B$8="Custom",$J$11,IFERROR(VLOOKUP($B$8,$G$6:$L$8,2,FALSE),""))</f>
        <v>3</v>
      </c>
      <c r="C10" s="74"/>
      <c r="D10" s="66"/>
      <c r="E10" s="67"/>
      <c r="G10" s="16" t="s">
        <v>14</v>
      </c>
      <c r="H10" s="17"/>
      <c r="I10" s="17"/>
      <c r="J10" s="17"/>
      <c r="K10" s="18"/>
    </row>
    <row r="11" spans="1:12">
      <c r="A11" s="64" t="s">
        <v>15</v>
      </c>
      <c r="B11" s="15">
        <f>IF($B$8="Custom",$J$12,IFERROR(VLOOKUP($B$8,$G$6:$L$8,3,FALSE),""))</f>
        <v>5</v>
      </c>
      <c r="C11" s="74"/>
      <c r="D11" s="66"/>
      <c r="E11" s="67"/>
      <c r="G11" s="19" t="s">
        <v>16</v>
      </c>
      <c r="J11" s="20">
        <v>3</v>
      </c>
      <c r="K11" s="21"/>
    </row>
    <row r="12" spans="1:12">
      <c r="A12" s="64" t="s">
        <v>17</v>
      </c>
      <c r="B12" s="15">
        <f>IF($B$8="Custom",$J$13,IFERROR(VLOOKUP($B$8,$G$6:$L$8,4,FALSE),""))</f>
        <v>6</v>
      </c>
      <c r="C12" s="74"/>
      <c r="D12" s="66"/>
      <c r="E12" s="67"/>
      <c r="G12" s="19" t="s">
        <v>18</v>
      </c>
      <c r="J12" s="20">
        <v>5</v>
      </c>
      <c r="K12" s="21"/>
    </row>
    <row r="13" spans="1:12">
      <c r="A13" s="68"/>
      <c r="B13" s="74"/>
      <c r="C13" s="74"/>
      <c r="D13" s="66"/>
      <c r="E13" s="67"/>
      <c r="G13" s="19" t="s">
        <v>19</v>
      </c>
      <c r="J13" s="20">
        <v>6</v>
      </c>
      <c r="K13" s="21"/>
    </row>
    <row r="14" spans="1:12">
      <c r="A14" s="75"/>
      <c r="B14" s="66"/>
      <c r="C14" s="66"/>
      <c r="D14" s="66"/>
      <c r="E14" s="67"/>
      <c r="G14" s="19" t="s">
        <v>20</v>
      </c>
      <c r="J14" s="20">
        <v>10</v>
      </c>
      <c r="K14" s="21"/>
    </row>
    <row r="15" spans="1:12">
      <c r="A15" s="76" t="s">
        <v>21</v>
      </c>
      <c r="B15" s="22" t="s">
        <v>22</v>
      </c>
      <c r="C15" s="23"/>
      <c r="D15" s="22" t="s">
        <v>23</v>
      </c>
      <c r="E15" s="77" t="s">
        <v>22</v>
      </c>
      <c r="G15" s="24" t="s">
        <v>24</v>
      </c>
      <c r="H15" s="25"/>
      <c r="I15" s="25"/>
      <c r="J15" s="26">
        <v>45</v>
      </c>
      <c r="K15" s="27"/>
    </row>
    <row r="16" spans="1:12" ht="19" customHeight="1">
      <c r="A16" s="64" t="s">
        <v>25</v>
      </c>
      <c r="B16" s="28">
        <v>75000</v>
      </c>
      <c r="C16" s="29"/>
      <c r="D16" s="11" t="s">
        <v>25</v>
      </c>
      <c r="E16" s="78">
        <v>125000</v>
      </c>
    </row>
    <row r="17" spans="1:5" ht="19" customHeight="1">
      <c r="A17" s="64" t="s">
        <v>26</v>
      </c>
      <c r="B17" s="30">
        <f>125*37</f>
        <v>4625</v>
      </c>
      <c r="C17" s="31"/>
      <c r="D17" s="11" t="s">
        <v>26</v>
      </c>
      <c r="E17" s="79">
        <f>49*37</f>
        <v>1813</v>
      </c>
    </row>
    <row r="18" spans="1:5" ht="31" customHeight="1">
      <c r="A18" s="80" t="s">
        <v>27</v>
      </c>
      <c r="B18" s="33"/>
      <c r="C18" s="34"/>
      <c r="D18" s="32" t="s">
        <v>89</v>
      </c>
      <c r="E18" s="79"/>
    </row>
    <row r="19" spans="1:5" ht="19" customHeight="1">
      <c r="A19" s="64" t="s">
        <v>28</v>
      </c>
      <c r="B19" s="28">
        <v>2200</v>
      </c>
      <c r="C19" s="29"/>
      <c r="D19" s="11" t="s">
        <v>29</v>
      </c>
      <c r="E19" s="78">
        <v>900</v>
      </c>
    </row>
    <row r="20" spans="1:5" ht="33" customHeight="1">
      <c r="A20" s="80" t="s">
        <v>30</v>
      </c>
      <c r="B20" s="35"/>
      <c r="C20" s="81"/>
      <c r="D20" s="82" t="s">
        <v>31</v>
      </c>
      <c r="E20" s="78"/>
    </row>
    <row r="21" spans="1:5" ht="19" customHeight="1">
      <c r="A21" s="64" t="s">
        <v>32</v>
      </c>
      <c r="B21" s="30">
        <v>25</v>
      </c>
      <c r="C21" s="31"/>
      <c r="D21" s="11" t="s">
        <v>32</v>
      </c>
      <c r="E21" s="79">
        <v>75</v>
      </c>
    </row>
    <row r="22" spans="1:5" ht="34.5" customHeight="1">
      <c r="A22" s="80" t="s">
        <v>33</v>
      </c>
      <c r="B22" s="33"/>
      <c r="C22" s="34"/>
      <c r="D22" s="32" t="s">
        <v>34</v>
      </c>
      <c r="E22" s="79"/>
    </row>
    <row r="23" spans="1:5" ht="19" customHeight="1">
      <c r="A23" s="64" t="s">
        <v>35</v>
      </c>
      <c r="B23" s="36">
        <v>1</v>
      </c>
      <c r="C23" s="37"/>
      <c r="D23" s="11" t="s">
        <v>35</v>
      </c>
      <c r="E23" s="83">
        <v>1</v>
      </c>
    </row>
    <row r="24" spans="1:5" ht="19" customHeight="1">
      <c r="A24" s="64" t="s">
        <v>36</v>
      </c>
      <c r="B24" s="15">
        <f>IF($B$8="Custom",$J$14,IFERROR(VLOOKUP($B$8,$G$6:$L$8,5,FALSE),""))</f>
        <v>10</v>
      </c>
      <c r="C24" s="38"/>
      <c r="D24" s="11" t="s">
        <v>36</v>
      </c>
      <c r="E24" s="84">
        <f>IF($B$8="Custom",$J$15,IFERROR(VLOOKUP($B$8,$G$6:$L$8,6,FALSE),""))</f>
        <v>50</v>
      </c>
    </row>
    <row r="25" spans="1:5" ht="19" customHeight="1">
      <c r="A25" s="68"/>
      <c r="B25" s="65"/>
      <c r="C25" s="65"/>
      <c r="D25" s="85"/>
      <c r="E25" s="86"/>
    </row>
    <row r="26" spans="1:5" ht="41.5" customHeight="1">
      <c r="A26" s="87" t="s">
        <v>37</v>
      </c>
      <c r="B26" s="73"/>
      <c r="C26" s="73"/>
      <c r="D26" s="73"/>
      <c r="E26" s="88"/>
    </row>
    <row r="27" spans="1:5" ht="62.5" customHeight="1">
      <c r="A27" s="64" t="s">
        <v>38</v>
      </c>
      <c r="B27" s="39">
        <f ca="1">Model!T58</f>
        <v>193370.97791923644</v>
      </c>
      <c r="C27" s="40"/>
      <c r="D27" s="41"/>
      <c r="E27" s="89">
        <f ca="1">Model!U58</f>
        <v>172744.46721232272</v>
      </c>
    </row>
    <row r="28" spans="1:5">
      <c r="A28" s="64" t="s">
        <v>39</v>
      </c>
      <c r="B28" s="91">
        <f>Inputs!$B$16*Inputs!$B$24/100</f>
        <v>7500</v>
      </c>
      <c r="C28" s="40"/>
      <c r="D28" s="41"/>
      <c r="E28" s="93">
        <f>Inputs!$E$16*Inputs!$E$24/100</f>
        <v>62500</v>
      </c>
    </row>
    <row r="29" spans="1:5">
      <c r="A29" s="64" t="s">
        <v>40</v>
      </c>
      <c r="B29" s="91">
        <f ca="1">Model!J58</f>
        <v>185870.97791923644</v>
      </c>
      <c r="C29" s="40"/>
      <c r="D29" s="66"/>
      <c r="E29" s="93">
        <f ca="1">Model!Q58</f>
        <v>110244.46721232272</v>
      </c>
    </row>
    <row r="30" spans="1:5">
      <c r="A30" s="64" t="s">
        <v>41</v>
      </c>
      <c r="B30" s="91">
        <f ca="1">Model!V58</f>
        <v>139288.96334493885</v>
      </c>
      <c r="C30" s="40"/>
      <c r="D30" s="41"/>
      <c r="E30" s="93">
        <f ca="1">Model!W58</f>
        <v>150920.65072586355</v>
      </c>
    </row>
    <row r="31" spans="1:5">
      <c r="A31" s="64" t="s">
        <v>42</v>
      </c>
      <c r="B31" s="91">
        <f>(Inputs!$B$16*Inputs!$B$24/100)/(1+Inputs!$B$12/100)^Inputs!$B$6</f>
        <v>2338.5354516456323</v>
      </c>
      <c r="C31" s="66"/>
      <c r="D31" s="66"/>
      <c r="E31" s="93">
        <f>(Inputs!$E$16*Inputs!$E$24/100)/(1+Inputs!$B$12/100)^Inputs!$B$6</f>
        <v>19487.795430380269</v>
      </c>
    </row>
    <row r="32" spans="1:5" ht="14.5" customHeight="1" thickBot="1">
      <c r="A32" s="90" t="s">
        <v>43</v>
      </c>
      <c r="B32" s="92">
        <f ca="1">Model!L58</f>
        <v>136950.42789329321</v>
      </c>
      <c r="C32" s="42"/>
      <c r="D32" s="43"/>
      <c r="E32" s="94">
        <f ca="1">Model!S58</f>
        <v>131432.85529548328</v>
      </c>
    </row>
    <row r="33" spans="1:5" ht="14.5" customHeight="1" thickBot="1">
      <c r="A33" s="44" t="s">
        <v>44</v>
      </c>
      <c r="B33" s="45">
        <f ca="1">Model!K58</f>
        <v>774.46240799681846</v>
      </c>
      <c r="C33" s="46"/>
      <c r="D33" s="47"/>
      <c r="E33" s="48">
        <f ca="1">Model!R58</f>
        <v>459.35194671801133</v>
      </c>
    </row>
    <row r="34" spans="1:5" ht="14.5" customHeight="1">
      <c r="A34" s="49"/>
    </row>
    <row r="56" spans="1:5">
      <c r="A56" s="50" t="s">
        <v>94</v>
      </c>
      <c r="B56" s="51"/>
      <c r="C56" s="51"/>
      <c r="D56" s="51"/>
      <c r="E56" s="51"/>
    </row>
    <row r="57" spans="1:5">
      <c r="A57" s="51"/>
      <c r="B57" s="51"/>
      <c r="C57" s="51"/>
      <c r="D57" s="51"/>
      <c r="E57" s="51"/>
    </row>
    <row r="58" spans="1:5" ht="192.5" customHeight="1">
      <c r="A58" s="51"/>
      <c r="B58" s="51"/>
      <c r="C58" s="51"/>
      <c r="D58" s="51"/>
      <c r="E58" s="51"/>
    </row>
  </sheetData>
  <mergeCells count="6">
    <mergeCell ref="A56:E58"/>
    <mergeCell ref="A26:E26"/>
    <mergeCell ref="A2:E2"/>
    <mergeCell ref="A5:E5"/>
    <mergeCell ref="A1:E1"/>
    <mergeCell ref="C9:D9"/>
  </mergeCells>
  <dataValidations count="1">
    <dataValidation type="list" sqref="B8:C8" xr:uid="{00000000-0002-0000-0100-000000000000}">
      <formula1>"Optimistisch,Neutraal,Conservatief,Custom"</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8"/>
  <sheetViews>
    <sheetView showGridLines="0" topLeftCell="H1" workbookViewId="0">
      <selection activeCell="V3" sqref="V3"/>
    </sheetView>
  </sheetViews>
  <sheetFormatPr defaultRowHeight="14.5"/>
  <cols>
    <col min="1" max="1" width="8" customWidth="1"/>
    <col min="2" max="2" width="15" customWidth="1"/>
    <col min="3" max="6" width="16" customWidth="1"/>
    <col min="7" max="7" width="18" customWidth="1"/>
    <col min="8" max="8" width="16" customWidth="1"/>
    <col min="9" max="9" width="2" customWidth="1"/>
    <col min="10" max="13" width="16" customWidth="1"/>
    <col min="14" max="14" width="18" customWidth="1"/>
    <col min="15" max="15" width="16" customWidth="1"/>
    <col min="16" max="16" width="12" customWidth="1"/>
    <col min="17" max="17" width="20" customWidth="1"/>
    <col min="18" max="19" width="22" customWidth="1"/>
    <col min="20" max="21" width="18" customWidth="1"/>
    <col min="22" max="22" width="20" customWidth="1"/>
    <col min="23" max="23" width="22" customWidth="1"/>
  </cols>
  <sheetData>
    <row r="1" spans="1:26" ht="18.5" customHeight="1">
      <c r="A1" s="60" t="s">
        <v>53</v>
      </c>
      <c r="B1" s="56"/>
      <c r="C1" s="56"/>
      <c r="D1" s="56"/>
      <c r="E1" s="56"/>
      <c r="F1" s="56"/>
      <c r="G1" s="56"/>
      <c r="H1" s="56"/>
      <c r="I1" s="56"/>
      <c r="J1" s="56"/>
      <c r="K1" s="56"/>
      <c r="L1" s="56"/>
      <c r="M1" s="56"/>
      <c r="N1" s="56"/>
      <c r="O1" s="56"/>
      <c r="P1" s="56"/>
      <c r="Q1" s="56"/>
      <c r="R1" s="56"/>
      <c r="S1" s="56"/>
    </row>
    <row r="3" spans="1:26" ht="29" customHeight="1">
      <c r="A3" s="2" t="s">
        <v>54</v>
      </c>
      <c r="B3" s="2" t="s">
        <v>55</v>
      </c>
      <c r="C3" s="2" t="s">
        <v>56</v>
      </c>
      <c r="D3" s="2" t="s">
        <v>57</v>
      </c>
      <c r="E3" s="2" t="s">
        <v>58</v>
      </c>
      <c r="F3" s="2" t="s">
        <v>59</v>
      </c>
      <c r="G3" s="2" t="s">
        <v>60</v>
      </c>
      <c r="H3" s="2" t="s">
        <v>61</v>
      </c>
      <c r="I3" t="s">
        <v>62</v>
      </c>
      <c r="J3" s="2" t="s">
        <v>63</v>
      </c>
      <c r="K3" s="2" t="s">
        <v>64</v>
      </c>
      <c r="L3" s="2" t="s">
        <v>65</v>
      </c>
      <c r="M3" s="2" t="s">
        <v>66</v>
      </c>
      <c r="N3" s="2" t="s">
        <v>67</v>
      </c>
      <c r="O3" s="2" t="s">
        <v>68</v>
      </c>
      <c r="P3" s="2" t="s">
        <v>69</v>
      </c>
      <c r="Q3" s="2" t="s">
        <v>70</v>
      </c>
      <c r="R3" s="2" t="s">
        <v>71</v>
      </c>
      <c r="S3" s="2" t="s">
        <v>72</v>
      </c>
      <c r="T3" s="2" t="s">
        <v>73</v>
      </c>
      <c r="U3" s="2" t="s">
        <v>74</v>
      </c>
      <c r="V3" s="2" t="s">
        <v>75</v>
      </c>
      <c r="W3" s="2" t="s">
        <v>76</v>
      </c>
      <c r="X3" s="8" t="s">
        <v>77</v>
      </c>
      <c r="Y3" s="8" t="s">
        <v>78</v>
      </c>
      <c r="Z3" s="8" t="s">
        <v>79</v>
      </c>
    </row>
    <row r="4" spans="1:26">
      <c r="A4" s="4">
        <v>0</v>
      </c>
      <c r="B4" s="5">
        <f>Inputs!$B$9*(1+Inputs!$B$10/100)^0</f>
        <v>0.3</v>
      </c>
      <c r="C4" s="6">
        <f>Inputs!$B$17*B4</f>
        <v>1387.5</v>
      </c>
      <c r="D4" s="6">
        <f>Inputs!$B$19*(1+Inputs!$B$11/100)^0</f>
        <v>2200</v>
      </c>
      <c r="E4" s="6">
        <f>IF(A4=0,0,IF(MOD(A4,Inputs!$B$21)=0,Inputs!$B$16*Inputs!$B$23,0))</f>
        <v>0</v>
      </c>
      <c r="F4" s="6">
        <f>C4+D4+E4+IF(A4=0,Inputs!$B$16,0)</f>
        <v>78587.5</v>
      </c>
      <c r="G4" s="6">
        <f>F4</f>
        <v>78587.5</v>
      </c>
      <c r="H4" s="6">
        <f t="shared" ref="H4:H35" si="0">F4*I4</f>
        <v>78587.5</v>
      </c>
      <c r="I4">
        <f>1/(1+Inputs!$B$12/100)^A4</f>
        <v>1</v>
      </c>
      <c r="J4" s="6">
        <f>Inputs!$E$17*B4</f>
        <v>543.9</v>
      </c>
      <c r="K4" s="6">
        <f>Inputs!$E$19*(1+Inputs!$B$11/100)^0</f>
        <v>900</v>
      </c>
      <c r="L4" s="6">
        <f>IF(A4=0,0,IF(MOD(A4,Inputs!$E$21)=0,Inputs!$E$16*Inputs!$E$23,0))</f>
        <v>0</v>
      </c>
      <c r="M4" s="6">
        <f>J4+K4+L4+IF(A4=0,Inputs!$E$16,0)</f>
        <v>126443.9</v>
      </c>
      <c r="N4" s="6">
        <f>M4</f>
        <v>126443.9</v>
      </c>
      <c r="O4" s="6">
        <f t="shared" ref="O4:O35" si="1">M4*I4</f>
        <v>126443.9</v>
      </c>
      <c r="P4" s="7">
        <f>IF(A4&lt;=Inputs!$B$6,A4,NA())</f>
        <v>0</v>
      </c>
      <c r="Q4" s="6">
        <f>IF(A4&lt;=Inputs!$B$6,G4,NA())</f>
        <v>78587.5</v>
      </c>
      <c r="R4" s="6">
        <f>IF(A4&lt;=Inputs!$B$6,N4,NA())</f>
        <v>126443.9</v>
      </c>
      <c r="S4" s="1">
        <f>IF(A4&lt;=Inputs!$B$6,G4,NA())</f>
        <v>78587.5</v>
      </c>
      <c r="T4" s="6">
        <f>IF(A4&lt;=Inputs!$B$6,N4,NA())</f>
        <v>126443.9</v>
      </c>
      <c r="U4" s="6" t="e">
        <f>IF(A4=Inputs!$B$6,(Inputs!$B$16*Inputs!$B$24/100),NA())</f>
        <v>#N/A</v>
      </c>
      <c r="V4" s="6" t="e">
        <f>IF(A4=Inputs!$B$6,(Inputs!$E$16*Inputs!$E$24/100),NA())</f>
        <v>#N/A</v>
      </c>
      <c r="W4" s="6">
        <f>(J4+K4+L4+IF(A4=0,Inputs!$E$16,0))*P4</f>
        <v>0</v>
      </c>
      <c r="X4">
        <f t="shared" ref="X4:X35" si="2">G4-N4</f>
        <v>-47856.399999999994</v>
      </c>
      <c r="Y4">
        <f t="shared" ref="Y4:Y35" si="3">Q4-R4</f>
        <v>-47856.399999999994</v>
      </c>
      <c r="Z4" t="e">
        <f t="shared" ref="Z4:Z35" si="4">T4-U4</f>
        <v>#N/A</v>
      </c>
    </row>
    <row r="5" spans="1:26">
      <c r="A5" s="4">
        <v>1</v>
      </c>
      <c r="B5" s="5">
        <f>Inputs!$B$9*(1+Inputs!$B$10/100)^1</f>
        <v>0.309</v>
      </c>
      <c r="C5" s="6">
        <f>Inputs!$B$17*B5</f>
        <v>1429.125</v>
      </c>
      <c r="D5" s="6">
        <f>Inputs!$B$19*(1+Inputs!$B$11/100)^1</f>
        <v>2310</v>
      </c>
      <c r="E5" s="6">
        <f>IF(A5=0,0,IF(MOD(A5,Inputs!$B$21)=0,Inputs!$B$16*Inputs!$B$23,0))</f>
        <v>0</v>
      </c>
      <c r="F5" s="6">
        <f>C5+D5+E5+IF(A5=0,Inputs!$B$16,0)</f>
        <v>3739.125</v>
      </c>
      <c r="G5" s="6">
        <f t="shared" ref="G5:G36" si="5">G4+F5</f>
        <v>82326.625</v>
      </c>
      <c r="H5" s="6">
        <f t="shared" si="0"/>
        <v>3527.4764150943392</v>
      </c>
      <c r="I5">
        <f>1/(1+Inputs!$B$12/100)^A5</f>
        <v>0.94339622641509424</v>
      </c>
      <c r="J5" s="6">
        <f>Inputs!$E$17*B5</f>
        <v>560.21699999999998</v>
      </c>
      <c r="K5" s="6">
        <f>Inputs!$E$19*(1+Inputs!$B$11/100)^1</f>
        <v>945</v>
      </c>
      <c r="L5" s="6">
        <f>IF(A5=0,0,IF(MOD(A5,Inputs!$E$21)=0,Inputs!$E$16*Inputs!$E$23,0))</f>
        <v>0</v>
      </c>
      <c r="M5" s="6">
        <f>J5+K5+L5+IF(A5=0,Inputs!$E$16,0)</f>
        <v>1505.2170000000001</v>
      </c>
      <c r="N5" s="6">
        <f t="shared" ref="N5:N36" si="6">N4+M5</f>
        <v>127949.117</v>
      </c>
      <c r="O5" s="6">
        <f t="shared" si="1"/>
        <v>1420.0160377358491</v>
      </c>
      <c r="P5" s="7">
        <f>IF(A5&lt;=Inputs!$B$6,A5,NA())</f>
        <v>1</v>
      </c>
      <c r="Q5" s="6">
        <f>IF(A5&lt;=Inputs!$B$6,G5,NA())</f>
        <v>82326.625</v>
      </c>
      <c r="R5" s="6">
        <f>IF(A5&lt;=Inputs!$B$6,N5,NA())</f>
        <v>127949.117</v>
      </c>
      <c r="S5" s="1">
        <f>IF(A5&lt;=Inputs!$B$6,G5,NA())</f>
        <v>82326.625</v>
      </c>
      <c r="T5" s="6">
        <f>IF(A5&lt;=Inputs!$B$6,N5,NA())</f>
        <v>127949.117</v>
      </c>
      <c r="U5" s="6" t="e">
        <f>IF(A5=Inputs!$B$6,(Inputs!$B$16*Inputs!$B$24/100),NA())</f>
        <v>#N/A</v>
      </c>
      <c r="V5" s="6" t="e">
        <f>IF(A5=Inputs!$B$6,(Inputs!$E$16*Inputs!$E$24/100),NA())</f>
        <v>#N/A</v>
      </c>
      <c r="W5" s="6">
        <f>W4+((J5+K5+L5+IF(A5=0,Inputs!$E$16,0))*P5)</f>
        <v>1505.2170000000001</v>
      </c>
      <c r="X5">
        <f t="shared" si="2"/>
        <v>-45622.491999999998</v>
      </c>
      <c r="Y5">
        <f t="shared" si="3"/>
        <v>-45622.491999999998</v>
      </c>
      <c r="Z5" t="e">
        <f t="shared" si="4"/>
        <v>#N/A</v>
      </c>
    </row>
    <row r="6" spans="1:26">
      <c r="A6" s="4">
        <v>2</v>
      </c>
      <c r="B6" s="5">
        <f>Inputs!$B$9*(1+Inputs!$B$10/100)^2</f>
        <v>0.31827</v>
      </c>
      <c r="C6" s="6">
        <f>Inputs!$B$17*B6</f>
        <v>1471.99875</v>
      </c>
      <c r="D6" s="6">
        <f>Inputs!$B$19*(1+Inputs!$B$11/100)^2</f>
        <v>2425.5</v>
      </c>
      <c r="E6" s="6">
        <f>IF(A6=0,0,IF(MOD(A6,Inputs!$B$21)=0,Inputs!$B$16*Inputs!$B$23,0))</f>
        <v>0</v>
      </c>
      <c r="F6" s="6">
        <f>C6+D6+E6+IF(A6=0,Inputs!$B$16,0)</f>
        <v>3897.4987499999997</v>
      </c>
      <c r="G6" s="6">
        <f t="shared" si="5"/>
        <v>86224.123749999999</v>
      </c>
      <c r="H6" s="6">
        <f t="shared" si="0"/>
        <v>3468.7600124599494</v>
      </c>
      <c r="I6">
        <f>1/(1+Inputs!$B$12/100)^A6</f>
        <v>0.88999644001423983</v>
      </c>
      <c r="J6" s="6">
        <f>Inputs!$E$17*B6</f>
        <v>577.02350999999999</v>
      </c>
      <c r="K6" s="6">
        <f>Inputs!$E$19*(1+Inputs!$B$11/100)^2</f>
        <v>992.25</v>
      </c>
      <c r="L6" s="6">
        <f>IF(A6=0,0,IF(MOD(A6,Inputs!$E$21)=0,Inputs!$E$16*Inputs!$E$23,0))</f>
        <v>0</v>
      </c>
      <c r="M6" s="6">
        <f>J6+K6+L6+IF(A6=0,Inputs!$E$16,0)</f>
        <v>1569.27351</v>
      </c>
      <c r="N6" s="6">
        <f t="shared" si="6"/>
        <v>129518.39051</v>
      </c>
      <c r="O6" s="6">
        <f t="shared" si="1"/>
        <v>1396.6478373086507</v>
      </c>
      <c r="P6" s="7">
        <f>IF(A6&lt;=Inputs!$B$6,A6,NA())</f>
        <v>2</v>
      </c>
      <c r="Q6" s="6">
        <f>IF(A6&lt;=Inputs!$B$6,G6,NA())</f>
        <v>86224.123749999999</v>
      </c>
      <c r="R6" s="6">
        <f>IF(A6&lt;=Inputs!$B$6,N6,NA())</f>
        <v>129518.39051</v>
      </c>
      <c r="S6" s="1">
        <f>IF(A6&lt;=Inputs!$B$6,G6,NA())</f>
        <v>86224.123749999999</v>
      </c>
      <c r="T6" s="6">
        <f>IF(A6&lt;=Inputs!$B$6,N6,NA())</f>
        <v>129518.39051</v>
      </c>
      <c r="U6" s="6" t="e">
        <f>IF(A6=Inputs!$B$6,(Inputs!$B$16*Inputs!$B$24/100),NA())</f>
        <v>#N/A</v>
      </c>
      <c r="V6" s="6" t="e">
        <f>IF(A6=Inputs!$B$6,(Inputs!$E$16*Inputs!$E$24/100),NA())</f>
        <v>#N/A</v>
      </c>
      <c r="W6" s="6">
        <f>W5+((J6+K6+L6+IF(A6=0,Inputs!$E$16,0))*P6)</f>
        <v>4643.7640200000005</v>
      </c>
      <c r="X6">
        <f t="shared" si="2"/>
        <v>-43294.266759999999</v>
      </c>
      <c r="Y6">
        <f t="shared" si="3"/>
        <v>-43294.266759999999</v>
      </c>
      <c r="Z6" t="e">
        <f t="shared" si="4"/>
        <v>#N/A</v>
      </c>
    </row>
    <row r="7" spans="1:26">
      <c r="A7" s="4">
        <v>3</v>
      </c>
      <c r="B7" s="5">
        <f>Inputs!$B$9*(1+Inputs!$B$10/100)^3</f>
        <v>0.3278181</v>
      </c>
      <c r="C7" s="6">
        <f>Inputs!$B$17*B7</f>
        <v>1516.1587125000001</v>
      </c>
      <c r="D7" s="6">
        <f>Inputs!$B$19*(1+Inputs!$B$11/100)^3</f>
        <v>2546.7750000000001</v>
      </c>
      <c r="E7" s="6">
        <f>IF(A7=0,0,IF(MOD(A7,Inputs!$B$21)=0,Inputs!$B$16*Inputs!$B$23,0))</f>
        <v>0</v>
      </c>
      <c r="F7" s="6">
        <f>C7+D7+E7+IF(A7=0,Inputs!$B$16,0)</f>
        <v>4062.9337125000002</v>
      </c>
      <c r="G7" s="6">
        <f t="shared" si="5"/>
        <v>90287.057462500001</v>
      </c>
      <c r="H7" s="6">
        <f t="shared" si="0"/>
        <v>3411.3174906970175</v>
      </c>
      <c r="I7">
        <f>1/(1+Inputs!$B$12/100)^A7</f>
        <v>0.8396192830323016</v>
      </c>
      <c r="J7" s="6">
        <f>Inputs!$E$17*B7</f>
        <v>594.33421529999998</v>
      </c>
      <c r="K7" s="6">
        <f>Inputs!$E$19*(1+Inputs!$B$11/100)^3</f>
        <v>1041.8625000000002</v>
      </c>
      <c r="L7" s="6">
        <f>IF(A7=0,0,IF(MOD(A7,Inputs!$E$21)=0,Inputs!$E$16*Inputs!$E$23,0))</f>
        <v>0</v>
      </c>
      <c r="M7" s="6">
        <f>J7+K7+L7+IF(A7=0,Inputs!$E$16,0)</f>
        <v>1636.1967153000001</v>
      </c>
      <c r="N7" s="6">
        <f t="shared" si="6"/>
        <v>131154.5872253</v>
      </c>
      <c r="O7" s="6">
        <f t="shared" si="1"/>
        <v>1373.7823129999929</v>
      </c>
      <c r="P7" s="7">
        <f>IF(A7&lt;=Inputs!$B$6,A7,NA())</f>
        <v>3</v>
      </c>
      <c r="Q7" s="6">
        <f>IF(A7&lt;=Inputs!$B$6,G7,NA())</f>
        <v>90287.057462500001</v>
      </c>
      <c r="R7" s="6">
        <f>IF(A7&lt;=Inputs!$B$6,N7,NA())</f>
        <v>131154.5872253</v>
      </c>
      <c r="S7" s="1">
        <f>IF(A7&lt;=Inputs!$B$6,G7,NA())</f>
        <v>90287.057462500001</v>
      </c>
      <c r="T7" s="6">
        <f>IF(A7&lt;=Inputs!$B$6,N7,NA())</f>
        <v>131154.5872253</v>
      </c>
      <c r="U7" s="6" t="e">
        <f>IF(A7=Inputs!$B$6,(Inputs!$B$16*Inputs!$B$24/100),NA())</f>
        <v>#N/A</v>
      </c>
      <c r="V7" s="6" t="e">
        <f>IF(A7=Inputs!$B$6,(Inputs!$E$16*Inputs!$E$24/100),NA())</f>
        <v>#N/A</v>
      </c>
      <c r="W7" s="6">
        <f>W6+((J7+K7+L7+IF(A7=0,Inputs!$E$16,0))*P7)</f>
        <v>9552.3541659000002</v>
      </c>
      <c r="X7">
        <f t="shared" si="2"/>
        <v>-40867.529762799997</v>
      </c>
      <c r="Y7">
        <f t="shared" si="3"/>
        <v>-40867.529762799997</v>
      </c>
      <c r="Z7" t="e">
        <f t="shared" si="4"/>
        <v>#N/A</v>
      </c>
    </row>
    <row r="8" spans="1:26">
      <c r="A8" s="4">
        <v>4</v>
      </c>
      <c r="B8" s="5">
        <f>Inputs!$B$9*(1+Inputs!$B$10/100)^4</f>
        <v>0.33765264299999997</v>
      </c>
      <c r="C8" s="6">
        <f>Inputs!$B$17*B8</f>
        <v>1561.6434738749999</v>
      </c>
      <c r="D8" s="6">
        <f>Inputs!$B$19*(1+Inputs!$B$11/100)^4</f>
        <v>2674.11375</v>
      </c>
      <c r="E8" s="6">
        <f>IF(A8=0,0,IF(MOD(A8,Inputs!$B$21)=0,Inputs!$B$16*Inputs!$B$23,0))</f>
        <v>0</v>
      </c>
      <c r="F8" s="6">
        <f>C8+D8+E8+IF(A8=0,Inputs!$B$16,0)</f>
        <v>4235.7572238749999</v>
      </c>
      <c r="G8" s="6">
        <f t="shared" si="5"/>
        <v>94522.814686375001</v>
      </c>
      <c r="H8" s="6">
        <f t="shared" si="0"/>
        <v>3355.1164560460566</v>
      </c>
      <c r="I8">
        <f>1/(1+Inputs!$B$12/100)^A8</f>
        <v>0.79209366323802044</v>
      </c>
      <c r="J8" s="6">
        <f>Inputs!$E$17*B8</f>
        <v>612.16424175899999</v>
      </c>
      <c r="K8" s="6">
        <f>Inputs!$E$19*(1+Inputs!$B$11/100)^4</f>
        <v>1093.9556250000001</v>
      </c>
      <c r="L8" s="6">
        <f>IF(A8=0,0,IF(MOD(A8,Inputs!$E$21)=0,Inputs!$E$16*Inputs!$E$23,0))</f>
        <v>0</v>
      </c>
      <c r="M8" s="6">
        <f>J8+K8+L8+IF(A8=0,Inputs!$E$16,0)</f>
        <v>1706.1198667590002</v>
      </c>
      <c r="N8" s="6">
        <f t="shared" si="6"/>
        <v>132860.70709205899</v>
      </c>
      <c r="O8" s="6">
        <f t="shared" si="1"/>
        <v>1351.4067351842998</v>
      </c>
      <c r="P8" s="7">
        <f>IF(A8&lt;=Inputs!$B$6,A8,NA())</f>
        <v>4</v>
      </c>
      <c r="Q8" s="6">
        <f>IF(A8&lt;=Inputs!$B$6,G8,NA())</f>
        <v>94522.814686375001</v>
      </c>
      <c r="R8" s="6">
        <f>IF(A8&lt;=Inputs!$B$6,N8,NA())</f>
        <v>132860.70709205899</v>
      </c>
      <c r="S8" s="1">
        <f>IF(A8&lt;=Inputs!$B$6,G8,NA())</f>
        <v>94522.814686375001</v>
      </c>
      <c r="T8" s="6">
        <f>IF(A8&lt;=Inputs!$B$6,N8,NA())</f>
        <v>132860.70709205899</v>
      </c>
      <c r="U8" s="6" t="e">
        <f>IF(A8=Inputs!$B$6,(Inputs!$B$16*Inputs!$B$24/100),NA())</f>
        <v>#N/A</v>
      </c>
      <c r="V8" s="6" t="e">
        <f>IF(A8=Inputs!$B$6,(Inputs!$E$16*Inputs!$E$24/100),NA())</f>
        <v>#N/A</v>
      </c>
      <c r="W8" s="6">
        <f>W7+((J8+K8+L8+IF(A8=0,Inputs!$E$16,0))*P8)</f>
        <v>16376.833632936001</v>
      </c>
      <c r="X8">
        <f t="shared" si="2"/>
        <v>-38337.89240568399</v>
      </c>
      <c r="Y8">
        <f t="shared" si="3"/>
        <v>-38337.89240568399</v>
      </c>
      <c r="Z8" t="e">
        <f t="shared" si="4"/>
        <v>#N/A</v>
      </c>
    </row>
    <row r="9" spans="1:26">
      <c r="A9" s="4">
        <v>5</v>
      </c>
      <c r="B9" s="5">
        <f>Inputs!$B$9*(1+Inputs!$B$10/100)^5</f>
        <v>0.34778222228999994</v>
      </c>
      <c r="C9" s="6">
        <f>Inputs!$B$17*B9</f>
        <v>1608.4927780912496</v>
      </c>
      <c r="D9" s="6">
        <f>Inputs!$B$19*(1+Inputs!$B$11/100)^5</f>
        <v>2807.8194375000003</v>
      </c>
      <c r="E9" s="6">
        <f>IF(A9=0,0,IF(MOD(A9,Inputs!$B$21)=0,Inputs!$B$16*Inputs!$B$23,0))</f>
        <v>0</v>
      </c>
      <c r="F9" s="6">
        <f>C9+D9+E9+IF(A9=0,Inputs!$B$16,0)</f>
        <v>4416.3122155912497</v>
      </c>
      <c r="G9" s="6">
        <f t="shared" si="5"/>
        <v>98939.126901966258</v>
      </c>
      <c r="H9" s="6">
        <f t="shared" si="0"/>
        <v>3300.1253970287648</v>
      </c>
      <c r="I9">
        <f>1/(1+Inputs!$B$12/100)^A9</f>
        <v>0.74725817286605689</v>
      </c>
      <c r="J9" s="6">
        <f>Inputs!$E$17*B9</f>
        <v>630.52916901176991</v>
      </c>
      <c r="K9" s="6">
        <f>Inputs!$E$19*(1+Inputs!$B$11/100)^5</f>
        <v>1148.6534062500002</v>
      </c>
      <c r="L9" s="6">
        <f>IF(A9=0,0,IF(MOD(A9,Inputs!$E$21)=0,Inputs!$E$16*Inputs!$E$23,0))</f>
        <v>0</v>
      </c>
      <c r="M9" s="6">
        <f>J9+K9+L9+IF(A9=0,Inputs!$E$16,0)</f>
        <v>1779.1825752617701</v>
      </c>
      <c r="N9" s="6">
        <f t="shared" si="6"/>
        <v>134639.88966732076</v>
      </c>
      <c r="O9" s="6">
        <f t="shared" si="1"/>
        <v>1329.5087203852361</v>
      </c>
      <c r="P9" s="7">
        <f>IF(A9&lt;=Inputs!$B$6,A9,NA())</f>
        <v>5</v>
      </c>
      <c r="Q9" s="6">
        <f>IF(A9&lt;=Inputs!$B$6,G9,NA())</f>
        <v>98939.126901966258</v>
      </c>
      <c r="R9" s="6">
        <f>IF(A9&lt;=Inputs!$B$6,N9,NA())</f>
        <v>134639.88966732076</v>
      </c>
      <c r="S9" s="1">
        <f>IF(A9&lt;=Inputs!$B$6,G9,NA())</f>
        <v>98939.126901966258</v>
      </c>
      <c r="T9" s="6">
        <f>IF(A9&lt;=Inputs!$B$6,N9,NA())</f>
        <v>134639.88966732076</v>
      </c>
      <c r="U9" s="6" t="e">
        <f>IF(A9=Inputs!$B$6,(Inputs!$B$16*Inputs!$B$24/100),NA())</f>
        <v>#N/A</v>
      </c>
      <c r="V9" s="6" t="e">
        <f>IF(A9=Inputs!$B$6,(Inputs!$E$16*Inputs!$E$24/100),NA())</f>
        <v>#N/A</v>
      </c>
      <c r="W9" s="6">
        <f>W8+((J9+K9+L9+IF(A9=0,Inputs!$E$16,0))*P9)</f>
        <v>25272.746509244851</v>
      </c>
      <c r="X9">
        <f t="shared" si="2"/>
        <v>-35700.762765354506</v>
      </c>
      <c r="Y9">
        <f t="shared" si="3"/>
        <v>-35700.762765354506</v>
      </c>
      <c r="Z9" t="e">
        <f t="shared" si="4"/>
        <v>#N/A</v>
      </c>
    </row>
    <row r="10" spans="1:26">
      <c r="A10" s="4">
        <v>6</v>
      </c>
      <c r="B10" s="5">
        <f>Inputs!$B$9*(1+Inputs!$B$10/100)^6</f>
        <v>0.35821568895869998</v>
      </c>
      <c r="C10" s="6">
        <f>Inputs!$B$17*B10</f>
        <v>1656.7475614339874</v>
      </c>
      <c r="D10" s="6">
        <f>Inputs!$B$19*(1+Inputs!$B$11/100)^6</f>
        <v>2948.2104093749999</v>
      </c>
      <c r="E10" s="6">
        <f>IF(A10=0,0,IF(MOD(A10,Inputs!$B$21)=0,Inputs!$B$16*Inputs!$B$23,0))</f>
        <v>0</v>
      </c>
      <c r="F10" s="6">
        <f>C10+D10+E10+IF(A10=0,Inputs!$B$16,0)</f>
        <v>4604.9579708089877</v>
      </c>
      <c r="G10" s="6">
        <f t="shared" si="5"/>
        <v>103544.08487277525</v>
      </c>
      <c r="H10" s="6">
        <f t="shared" si="0"/>
        <v>3246.3136598034989</v>
      </c>
      <c r="I10">
        <f>1/(1+Inputs!$B$12/100)^A10</f>
        <v>0.70496054043967626</v>
      </c>
      <c r="J10" s="6">
        <f>Inputs!$E$17*B10</f>
        <v>649.4450440821231</v>
      </c>
      <c r="K10" s="6">
        <f>Inputs!$E$19*(1+Inputs!$B$11/100)^6</f>
        <v>1206.0860765625</v>
      </c>
      <c r="L10" s="6">
        <f>IF(A10=0,0,IF(MOD(A10,Inputs!$E$21)=0,Inputs!$E$16*Inputs!$E$23,0))</f>
        <v>0</v>
      </c>
      <c r="M10" s="6">
        <f>J10+K10+L10+IF(A10=0,Inputs!$E$16,0)</f>
        <v>1855.5311206446231</v>
      </c>
      <c r="N10" s="6">
        <f t="shared" si="6"/>
        <v>136495.42078796538</v>
      </c>
      <c r="O10" s="6">
        <f t="shared" si="1"/>
        <v>1308.0762216122716</v>
      </c>
      <c r="P10" s="7">
        <f>IF(A10&lt;=Inputs!$B$6,A10,NA())</f>
        <v>6</v>
      </c>
      <c r="Q10" s="6">
        <f>IF(A10&lt;=Inputs!$B$6,G10,NA())</f>
        <v>103544.08487277525</v>
      </c>
      <c r="R10" s="6">
        <f>IF(A10&lt;=Inputs!$B$6,N10,NA())</f>
        <v>136495.42078796538</v>
      </c>
      <c r="S10" s="1">
        <f>IF(A10&lt;=Inputs!$B$6,G10,NA())</f>
        <v>103544.08487277525</v>
      </c>
      <c r="T10" s="6">
        <f>IF(A10&lt;=Inputs!$B$6,N10,NA())</f>
        <v>136495.42078796538</v>
      </c>
      <c r="U10" s="6" t="e">
        <f>IF(A10=Inputs!$B$6,(Inputs!$B$16*Inputs!$B$24/100),NA())</f>
        <v>#N/A</v>
      </c>
      <c r="V10" s="6" t="e">
        <f>IF(A10=Inputs!$B$6,(Inputs!$E$16*Inputs!$E$24/100),NA())</f>
        <v>#N/A</v>
      </c>
      <c r="W10" s="6">
        <f>W9+((J10+K10+L10+IF(A10=0,Inputs!$E$16,0))*P10)</f>
        <v>36405.933233112592</v>
      </c>
      <c r="X10">
        <f t="shared" si="2"/>
        <v>-32951.335915190139</v>
      </c>
      <c r="Y10">
        <f t="shared" si="3"/>
        <v>-32951.335915190139</v>
      </c>
      <c r="Z10" t="e">
        <f t="shared" si="4"/>
        <v>#N/A</v>
      </c>
    </row>
    <row r="11" spans="1:26">
      <c r="A11" s="4">
        <v>7</v>
      </c>
      <c r="B11" s="5">
        <f>Inputs!$B$9*(1+Inputs!$B$10/100)^7</f>
        <v>0.36896215962746098</v>
      </c>
      <c r="C11" s="6">
        <f>Inputs!$B$17*B11</f>
        <v>1706.4499882770072</v>
      </c>
      <c r="D11" s="6">
        <f>Inputs!$B$19*(1+Inputs!$B$11/100)^7</f>
        <v>3095.6209298437507</v>
      </c>
      <c r="E11" s="6">
        <f>IF(A11=0,0,IF(MOD(A11,Inputs!$B$21)=0,Inputs!$B$16*Inputs!$B$23,0))</f>
        <v>0</v>
      </c>
      <c r="F11" s="6">
        <f>C11+D11+E11+IF(A11=0,Inputs!$B$16,0)</f>
        <v>4802.0709181207576</v>
      </c>
      <c r="G11" s="6">
        <f t="shared" si="5"/>
        <v>108346.15579089601</v>
      </c>
      <c r="H11" s="6">
        <f t="shared" si="0"/>
        <v>3193.651424215152</v>
      </c>
      <c r="I11">
        <f>1/(1+Inputs!$B$12/100)^A11</f>
        <v>0.66505711362233599</v>
      </c>
      <c r="J11" s="6">
        <f>Inputs!$E$17*B11</f>
        <v>668.92839540458681</v>
      </c>
      <c r="K11" s="6">
        <f>Inputs!$E$19*(1+Inputs!$B$11/100)^7</f>
        <v>1266.3903803906253</v>
      </c>
      <c r="L11" s="6">
        <f>IF(A11=0,0,IF(MOD(A11,Inputs!$E$21)=0,Inputs!$E$16*Inputs!$E$23,0))</f>
        <v>0</v>
      </c>
      <c r="M11" s="6">
        <f>J11+K11+L11+IF(A11=0,Inputs!$E$16,0)</f>
        <v>1935.3187757952121</v>
      </c>
      <c r="N11" s="6">
        <f t="shared" si="6"/>
        <v>138430.73956376061</v>
      </c>
      <c r="O11" s="6">
        <f t="shared" si="1"/>
        <v>1287.0975189694766</v>
      </c>
      <c r="P11" s="7">
        <f>IF(A11&lt;=Inputs!$B$6,A11,NA())</f>
        <v>7</v>
      </c>
      <c r="Q11" s="6">
        <f>IF(A11&lt;=Inputs!$B$6,G11,NA())</f>
        <v>108346.15579089601</v>
      </c>
      <c r="R11" s="6">
        <f>IF(A11&lt;=Inputs!$B$6,N11,NA())</f>
        <v>138430.73956376061</v>
      </c>
      <c r="S11" s="1">
        <f>IF(A11&lt;=Inputs!$B$6,G11,NA())</f>
        <v>108346.15579089601</v>
      </c>
      <c r="T11" s="6">
        <f>IF(A11&lt;=Inputs!$B$6,N11,NA())</f>
        <v>138430.73956376061</v>
      </c>
      <c r="U11" s="6" t="e">
        <f>IF(A11=Inputs!$B$6,(Inputs!$B$16*Inputs!$B$24/100),NA())</f>
        <v>#N/A</v>
      </c>
      <c r="V11" s="6" t="e">
        <f>IF(A11=Inputs!$B$6,(Inputs!$E$16*Inputs!$E$24/100),NA())</f>
        <v>#N/A</v>
      </c>
      <c r="W11" s="6">
        <f>W10+((J11+K11+L11+IF(A11=0,Inputs!$E$16,0))*P11)</f>
        <v>49953.164663679076</v>
      </c>
      <c r="X11">
        <f t="shared" si="2"/>
        <v>-30084.5837728646</v>
      </c>
      <c r="Y11">
        <f t="shared" si="3"/>
        <v>-30084.5837728646</v>
      </c>
      <c r="Z11" t="e">
        <f t="shared" si="4"/>
        <v>#N/A</v>
      </c>
    </row>
    <row r="12" spans="1:26">
      <c r="A12" s="4">
        <v>8</v>
      </c>
      <c r="B12" s="5">
        <f>Inputs!$B$9*(1+Inputs!$B$10/100)^8</f>
        <v>0.38003102441628478</v>
      </c>
      <c r="C12" s="6">
        <f>Inputs!$B$17*B12</f>
        <v>1757.643487925317</v>
      </c>
      <c r="D12" s="6">
        <f>Inputs!$B$19*(1+Inputs!$B$11/100)^8</f>
        <v>3250.4019763359374</v>
      </c>
      <c r="E12" s="6">
        <f>IF(A12=0,0,IF(MOD(A12,Inputs!$B$21)=0,Inputs!$B$16*Inputs!$B$23,0))</f>
        <v>0</v>
      </c>
      <c r="F12" s="6">
        <f>C12+D12+E12+IF(A12=0,Inputs!$B$16,0)</f>
        <v>5008.0454642612549</v>
      </c>
      <c r="G12" s="6">
        <f t="shared" si="5"/>
        <v>113354.20125515727</v>
      </c>
      <c r="H12" s="6">
        <f t="shared" si="0"/>
        <v>3142.1096805198322</v>
      </c>
      <c r="I12">
        <f>1/(1+Inputs!$B$12/100)^A12</f>
        <v>0.62741237134182648</v>
      </c>
      <c r="J12" s="6">
        <f>Inputs!$E$17*B12</f>
        <v>688.99624726672425</v>
      </c>
      <c r="K12" s="6">
        <f>Inputs!$E$19*(1+Inputs!$B$11/100)^8</f>
        <v>1329.7098994101564</v>
      </c>
      <c r="L12" s="6">
        <f>IF(A12=0,0,IF(MOD(A12,Inputs!$E$21)=0,Inputs!$E$16*Inputs!$E$23,0))</f>
        <v>0</v>
      </c>
      <c r="M12" s="6">
        <f>J12+K12+L12+IF(A12=0,Inputs!$E$16,0)</f>
        <v>2018.7061466768805</v>
      </c>
      <c r="N12" s="6">
        <f t="shared" si="6"/>
        <v>140449.44571043749</v>
      </c>
      <c r="O12" s="6">
        <f t="shared" si="1"/>
        <v>1266.5612105288626</v>
      </c>
      <c r="P12" s="7">
        <f>IF(A12&lt;=Inputs!$B$6,A12,NA())</f>
        <v>8</v>
      </c>
      <c r="Q12" s="6">
        <f>IF(A12&lt;=Inputs!$B$6,G12,NA())</f>
        <v>113354.20125515727</v>
      </c>
      <c r="R12" s="6">
        <f>IF(A12&lt;=Inputs!$B$6,N12,NA())</f>
        <v>140449.44571043749</v>
      </c>
      <c r="S12" s="1">
        <f>IF(A12&lt;=Inputs!$B$6,G12,NA())</f>
        <v>113354.20125515727</v>
      </c>
      <c r="T12" s="6">
        <f>IF(A12&lt;=Inputs!$B$6,N12,NA())</f>
        <v>140449.44571043749</v>
      </c>
      <c r="U12" s="6" t="e">
        <f>IF(A12=Inputs!$B$6,(Inputs!$B$16*Inputs!$B$24/100),NA())</f>
        <v>#N/A</v>
      </c>
      <c r="V12" s="6" t="e">
        <f>IF(A12=Inputs!$B$6,(Inputs!$E$16*Inputs!$E$24/100),NA())</f>
        <v>#N/A</v>
      </c>
      <c r="W12" s="6">
        <f>W11+((J12+K12+L12+IF(A12=0,Inputs!$E$16,0))*P12)</f>
        <v>66102.813837094116</v>
      </c>
      <c r="X12">
        <f t="shared" si="2"/>
        <v>-27095.244455280219</v>
      </c>
      <c r="Y12">
        <f t="shared" si="3"/>
        <v>-27095.244455280219</v>
      </c>
      <c r="Z12" t="e">
        <f t="shared" si="4"/>
        <v>#N/A</v>
      </c>
    </row>
    <row r="13" spans="1:26">
      <c r="A13" s="4">
        <v>9</v>
      </c>
      <c r="B13" s="5">
        <f>Inputs!$B$9*(1+Inputs!$B$10/100)^9</f>
        <v>0.39143195514877333</v>
      </c>
      <c r="C13" s="6">
        <f>Inputs!$B$17*B13</f>
        <v>1810.3727925630767</v>
      </c>
      <c r="D13" s="6">
        <f>Inputs!$B$19*(1+Inputs!$B$11/100)^9</f>
        <v>3412.9220751527346</v>
      </c>
      <c r="E13" s="6">
        <f>IF(A13=0,0,IF(MOD(A13,Inputs!$B$21)=0,Inputs!$B$16*Inputs!$B$23,0))</f>
        <v>0</v>
      </c>
      <c r="F13" s="6">
        <f>C13+D13+E13+IF(A13=0,Inputs!$B$16,0)</f>
        <v>5223.2948677158111</v>
      </c>
      <c r="G13" s="6">
        <f t="shared" si="5"/>
        <v>118577.49612287308</v>
      </c>
      <c r="H13" s="6">
        <f t="shared" si="0"/>
        <v>3091.6602067652534</v>
      </c>
      <c r="I13">
        <f>1/(1+Inputs!$B$12/100)^A13</f>
        <v>0.59189846353002495</v>
      </c>
      <c r="J13" s="6">
        <f>Inputs!$E$17*B13</f>
        <v>709.66613468472599</v>
      </c>
      <c r="K13" s="6">
        <f>Inputs!$E$19*(1+Inputs!$B$11/100)^9</f>
        <v>1396.1953943806643</v>
      </c>
      <c r="L13" s="6">
        <f>IF(A13=0,0,IF(MOD(A13,Inputs!$E$21)=0,Inputs!$E$16*Inputs!$E$23,0))</f>
        <v>0</v>
      </c>
      <c r="M13" s="6">
        <f>J13+K13+L13+IF(A13=0,Inputs!$E$16,0)</f>
        <v>2105.8615290653902</v>
      </c>
      <c r="N13" s="6">
        <f t="shared" si="6"/>
        <v>142555.30723950287</v>
      </c>
      <c r="O13" s="6">
        <f t="shared" si="1"/>
        <v>1246.4562034607934</v>
      </c>
      <c r="P13" s="7">
        <f>IF(A13&lt;=Inputs!$B$6,A13,NA())</f>
        <v>9</v>
      </c>
      <c r="Q13" s="6">
        <f>IF(A13&lt;=Inputs!$B$6,G13,NA())</f>
        <v>118577.49612287308</v>
      </c>
      <c r="R13" s="6">
        <f>IF(A13&lt;=Inputs!$B$6,N13,NA())</f>
        <v>142555.30723950287</v>
      </c>
      <c r="S13" s="1">
        <f>IF(A13&lt;=Inputs!$B$6,G13,NA())</f>
        <v>118577.49612287308</v>
      </c>
      <c r="T13" s="6">
        <f>IF(A13&lt;=Inputs!$B$6,N13,NA())</f>
        <v>142555.30723950287</v>
      </c>
      <c r="U13" s="6" t="e">
        <f>IF(A13=Inputs!$B$6,(Inputs!$B$16*Inputs!$B$24/100),NA())</f>
        <v>#N/A</v>
      </c>
      <c r="V13" s="6" t="e">
        <f>IF(A13=Inputs!$B$6,(Inputs!$E$16*Inputs!$E$24/100),NA())</f>
        <v>#N/A</v>
      </c>
      <c r="W13" s="6">
        <f>W12+((J13+K13+L13+IF(A13=0,Inputs!$E$16,0))*P13)</f>
        <v>85055.567598682625</v>
      </c>
      <c r="X13">
        <f t="shared" si="2"/>
        <v>-23977.811116629789</v>
      </c>
      <c r="Y13">
        <f t="shared" si="3"/>
        <v>-23977.811116629789</v>
      </c>
      <c r="Z13" t="e">
        <f t="shared" si="4"/>
        <v>#N/A</v>
      </c>
    </row>
    <row r="14" spans="1:26">
      <c r="A14" s="4">
        <v>10</v>
      </c>
      <c r="B14" s="5">
        <f>Inputs!$B$9*(1+Inputs!$B$10/100)^10</f>
        <v>0.4031749138032365</v>
      </c>
      <c r="C14" s="6">
        <f>Inputs!$B$17*B14</f>
        <v>1864.6839763399689</v>
      </c>
      <c r="D14" s="6">
        <f>Inputs!$B$19*(1+Inputs!$B$11/100)^10</f>
        <v>3583.5681789103714</v>
      </c>
      <c r="E14" s="6">
        <f>IF(A14=0,0,IF(MOD(A14,Inputs!$B$21)=0,Inputs!$B$16*Inputs!$B$23,0))</f>
        <v>0</v>
      </c>
      <c r="F14" s="6">
        <f>C14+D14+E14+IF(A14=0,Inputs!$B$16,0)</f>
        <v>5448.2521552503404</v>
      </c>
      <c r="G14" s="6">
        <f t="shared" si="5"/>
        <v>124025.74827812343</v>
      </c>
      <c r="H14" s="6">
        <f t="shared" si="0"/>
        <v>3042.2755468083237</v>
      </c>
      <c r="I14">
        <f>1/(1+Inputs!$B$12/100)^A14</f>
        <v>0.55839477691511785</v>
      </c>
      <c r="J14" s="6">
        <f>Inputs!$E$17*B14</f>
        <v>730.95611872526774</v>
      </c>
      <c r="K14" s="6">
        <f>Inputs!$E$19*(1+Inputs!$B$11/100)^10</f>
        <v>1466.0051640996974</v>
      </c>
      <c r="L14" s="6">
        <f>IF(A14=0,0,IF(MOD(A14,Inputs!$E$21)=0,Inputs!$E$16*Inputs!$E$23,0))</f>
        <v>0</v>
      </c>
      <c r="M14" s="6">
        <f>J14+K14+L14+IF(A14=0,Inputs!$E$16,0)</f>
        <v>2196.9612828249651</v>
      </c>
      <c r="N14" s="6">
        <f t="shared" si="6"/>
        <v>144752.26852232782</v>
      </c>
      <c r="O14" s="6">
        <f t="shared" si="1"/>
        <v>1226.7717054141976</v>
      </c>
      <c r="P14" s="7">
        <f>IF(A14&lt;=Inputs!$B$6,A14,NA())</f>
        <v>10</v>
      </c>
      <c r="Q14" s="6">
        <f>IF(A14&lt;=Inputs!$B$6,G14,NA())</f>
        <v>124025.74827812343</v>
      </c>
      <c r="R14" s="6">
        <f>IF(A14&lt;=Inputs!$B$6,N14,NA())</f>
        <v>144752.26852232782</v>
      </c>
      <c r="S14" s="1">
        <f>IF(A14&lt;=Inputs!$B$6,G14,NA())</f>
        <v>124025.74827812343</v>
      </c>
      <c r="T14" s="6">
        <f>IF(A14&lt;=Inputs!$B$6,N14,NA())</f>
        <v>144752.26852232782</v>
      </c>
      <c r="U14" s="6" t="e">
        <f>IF(A14=Inputs!$B$6,(Inputs!$B$16*Inputs!$B$24/100),NA())</f>
        <v>#N/A</v>
      </c>
      <c r="V14" s="6" t="e">
        <f>IF(A14=Inputs!$B$6,(Inputs!$E$16*Inputs!$E$24/100),NA())</f>
        <v>#N/A</v>
      </c>
      <c r="W14" s="6">
        <f>W13+((J14+K14+L14+IF(A14=0,Inputs!$E$16,0))*P14)</f>
        <v>107025.18042693227</v>
      </c>
      <c r="X14">
        <f t="shared" si="2"/>
        <v>-20726.520244204396</v>
      </c>
      <c r="Y14">
        <f t="shared" si="3"/>
        <v>-20726.520244204396</v>
      </c>
      <c r="Z14" t="e">
        <f t="shared" si="4"/>
        <v>#N/A</v>
      </c>
    </row>
    <row r="15" spans="1:26">
      <c r="A15" s="4">
        <v>11</v>
      </c>
      <c r="B15" s="5">
        <f>Inputs!$B$9*(1+Inputs!$B$10/100)^11</f>
        <v>0.41527016121733362</v>
      </c>
      <c r="C15" s="6">
        <f>Inputs!$B$17*B15</f>
        <v>1920.624495630168</v>
      </c>
      <c r="D15" s="6">
        <f>Inputs!$B$19*(1+Inputs!$B$11/100)^11</f>
        <v>3762.7465878558901</v>
      </c>
      <c r="E15" s="6">
        <f>IF(A15=0,0,IF(MOD(A15,Inputs!$B$21)=0,Inputs!$B$16*Inputs!$B$23,0))</f>
        <v>0</v>
      </c>
      <c r="F15" s="6">
        <f>C15+D15+E15+IF(A15=0,Inputs!$B$16,0)</f>
        <v>5683.3710834860576</v>
      </c>
      <c r="G15" s="6">
        <f t="shared" si="5"/>
        <v>129709.11936160948</v>
      </c>
      <c r="H15" s="6">
        <f t="shared" si="0"/>
        <v>2993.9289889519137</v>
      </c>
      <c r="I15">
        <f>1/(1+Inputs!$B$12/100)^A15</f>
        <v>0.52678752539162055</v>
      </c>
      <c r="J15" s="6">
        <f>Inputs!$E$17*B15</f>
        <v>752.88480228702588</v>
      </c>
      <c r="K15" s="6">
        <f>Inputs!$E$19*(1+Inputs!$B$11/100)^11</f>
        <v>1539.3054223046825</v>
      </c>
      <c r="L15" s="6">
        <f>IF(A15=0,0,IF(MOD(A15,Inputs!$E$21)=0,Inputs!$E$16*Inputs!$E$23,0))</f>
        <v>0</v>
      </c>
      <c r="M15" s="6">
        <f>J15+K15+L15+IF(A15=0,Inputs!$E$16,0)</f>
        <v>2292.1902245917081</v>
      </c>
      <c r="N15" s="6">
        <f t="shared" si="6"/>
        <v>147044.45874691952</v>
      </c>
      <c r="O15" s="6">
        <f t="shared" si="1"/>
        <v>1207.4972161395287</v>
      </c>
      <c r="P15" s="7">
        <f>IF(A15&lt;=Inputs!$B$6,A15,NA())</f>
        <v>11</v>
      </c>
      <c r="Q15" s="6">
        <f>IF(A15&lt;=Inputs!$B$6,G15,NA())</f>
        <v>129709.11936160948</v>
      </c>
      <c r="R15" s="6">
        <f>IF(A15&lt;=Inputs!$B$6,N15,NA())</f>
        <v>147044.45874691952</v>
      </c>
      <c r="S15" s="1">
        <f>IF(A15&lt;=Inputs!$B$6,G15,NA())</f>
        <v>129709.11936160948</v>
      </c>
      <c r="T15" s="6">
        <f>IF(A15&lt;=Inputs!$B$6,N15,NA())</f>
        <v>147044.45874691952</v>
      </c>
      <c r="U15" s="6" t="e">
        <f>IF(A15=Inputs!$B$6,(Inputs!$B$16*Inputs!$B$24/100),NA())</f>
        <v>#N/A</v>
      </c>
      <c r="V15" s="6" t="e">
        <f>IF(A15=Inputs!$B$6,(Inputs!$E$16*Inputs!$E$24/100),NA())</f>
        <v>#N/A</v>
      </c>
      <c r="W15" s="6">
        <f>W14+((J15+K15+L15+IF(A15=0,Inputs!$E$16,0))*P15)</f>
        <v>132239.27289744106</v>
      </c>
      <c r="X15">
        <f t="shared" si="2"/>
        <v>-17335.339385310042</v>
      </c>
      <c r="Y15">
        <f t="shared" si="3"/>
        <v>-17335.339385310042</v>
      </c>
      <c r="Z15" t="e">
        <f t="shared" si="4"/>
        <v>#N/A</v>
      </c>
    </row>
    <row r="16" spans="1:26">
      <c r="A16" s="4">
        <v>12</v>
      </c>
      <c r="B16" s="5">
        <f>Inputs!$B$9*(1+Inputs!$B$10/100)^12</f>
        <v>0.42772826605385356</v>
      </c>
      <c r="C16" s="6">
        <f>Inputs!$B$17*B16</f>
        <v>1978.2432304990728</v>
      </c>
      <c r="D16" s="6">
        <f>Inputs!$B$19*(1+Inputs!$B$11/100)^12</f>
        <v>3950.8839172486842</v>
      </c>
      <c r="E16" s="6">
        <f>IF(A16=0,0,IF(MOD(A16,Inputs!$B$21)=0,Inputs!$B$16*Inputs!$B$23,0))</f>
        <v>0</v>
      </c>
      <c r="F16" s="6">
        <f>C16+D16+E16+IF(A16=0,Inputs!$B$16,0)</f>
        <v>5929.1271477477567</v>
      </c>
      <c r="G16" s="6">
        <f t="shared" si="5"/>
        <v>135638.24650935724</v>
      </c>
      <c r="H16" s="6">
        <f t="shared" si="0"/>
        <v>2946.594545183319</v>
      </c>
      <c r="I16">
        <f>1/(1+Inputs!$B$12/100)^A16</f>
        <v>0.4969693635770005</v>
      </c>
      <c r="J16" s="6">
        <f>Inputs!$E$17*B16</f>
        <v>775.47134635563646</v>
      </c>
      <c r="K16" s="6">
        <f>Inputs!$E$19*(1+Inputs!$B$11/100)^12</f>
        <v>1616.2706934199164</v>
      </c>
      <c r="L16" s="6">
        <f>IF(A16=0,0,IF(MOD(A16,Inputs!$E$21)=0,Inputs!$E$16*Inputs!$E$23,0))</f>
        <v>0</v>
      </c>
      <c r="M16" s="6">
        <f>J16+K16+L16+IF(A16=0,Inputs!$E$16,0)</f>
        <v>2391.7420397755527</v>
      </c>
      <c r="N16" s="6">
        <f t="shared" si="6"/>
        <v>149436.20078669509</v>
      </c>
      <c r="O16" s="6">
        <f t="shared" si="1"/>
        <v>1188.6225193476134</v>
      </c>
      <c r="P16" s="7">
        <f>IF(A16&lt;=Inputs!$B$6,A16,NA())</f>
        <v>12</v>
      </c>
      <c r="Q16" s="6">
        <f>IF(A16&lt;=Inputs!$B$6,G16,NA())</f>
        <v>135638.24650935724</v>
      </c>
      <c r="R16" s="6">
        <f>IF(A16&lt;=Inputs!$B$6,N16,NA())</f>
        <v>149436.20078669509</v>
      </c>
      <c r="S16" s="1">
        <f>IF(A16&lt;=Inputs!$B$6,G16,NA())</f>
        <v>135638.24650935724</v>
      </c>
      <c r="T16" s="6">
        <f>IF(A16&lt;=Inputs!$B$6,N16,NA())</f>
        <v>149436.20078669509</v>
      </c>
      <c r="U16" s="6" t="e">
        <f>IF(A16=Inputs!$B$6,(Inputs!$B$16*Inputs!$B$24/100),NA())</f>
        <v>#N/A</v>
      </c>
      <c r="V16" s="6" t="e">
        <f>IF(A16=Inputs!$B$6,(Inputs!$E$16*Inputs!$E$24/100),NA())</f>
        <v>#N/A</v>
      </c>
      <c r="W16" s="6">
        <f>W15+((J16+K16+L16+IF(A16=0,Inputs!$E$16,0))*P16)</f>
        <v>160940.1773747477</v>
      </c>
      <c r="X16">
        <f t="shared" si="2"/>
        <v>-13797.954277337849</v>
      </c>
      <c r="Y16">
        <f t="shared" si="3"/>
        <v>-13797.954277337849</v>
      </c>
      <c r="Z16" t="e">
        <f t="shared" si="4"/>
        <v>#N/A</v>
      </c>
    </row>
    <row r="17" spans="1:26">
      <c r="A17" s="4">
        <v>13</v>
      </c>
      <c r="B17" s="5">
        <f>Inputs!$B$9*(1+Inputs!$B$10/100)^13</f>
        <v>0.44056011403546919</v>
      </c>
      <c r="C17" s="6">
        <f>Inputs!$B$17*B17</f>
        <v>2037.590527414045</v>
      </c>
      <c r="D17" s="6">
        <f>Inputs!$B$19*(1+Inputs!$B$11/100)^13</f>
        <v>4148.4281131111193</v>
      </c>
      <c r="E17" s="6">
        <f>IF(A17=0,0,IF(MOD(A17,Inputs!$B$21)=0,Inputs!$B$16*Inputs!$B$23,0))</f>
        <v>0</v>
      </c>
      <c r="F17" s="6">
        <f>C17+D17+E17+IF(A17=0,Inputs!$B$16,0)</f>
        <v>6186.0186405251643</v>
      </c>
      <c r="G17" s="6">
        <f t="shared" si="5"/>
        <v>141824.26514988241</v>
      </c>
      <c r="H17" s="6">
        <f t="shared" si="0"/>
        <v>2900.2469309974081</v>
      </c>
      <c r="I17">
        <f>1/(1+Inputs!$B$12/100)^A17</f>
        <v>0.46883902224245327</v>
      </c>
      <c r="J17" s="6">
        <f>Inputs!$E$17*B17</f>
        <v>798.73548674630558</v>
      </c>
      <c r="K17" s="6">
        <f>Inputs!$E$19*(1+Inputs!$B$11/100)^13</f>
        <v>1697.0842280909123</v>
      </c>
      <c r="L17" s="6">
        <f>IF(A17=0,0,IF(MOD(A17,Inputs!$E$21)=0,Inputs!$E$16*Inputs!$E$23,0))</f>
        <v>0</v>
      </c>
      <c r="M17" s="6">
        <f>J17+K17+L17+IF(A17=0,Inputs!$E$16,0)</f>
        <v>2495.8197148372178</v>
      </c>
      <c r="N17" s="6">
        <f t="shared" si="6"/>
        <v>151932.0205015323</v>
      </c>
      <c r="O17" s="6">
        <f t="shared" si="1"/>
        <v>1170.1376747977197</v>
      </c>
      <c r="P17" s="7">
        <f>IF(A17&lt;=Inputs!$B$6,A17,NA())</f>
        <v>13</v>
      </c>
      <c r="Q17" s="6">
        <f>IF(A17&lt;=Inputs!$B$6,G17,NA())</f>
        <v>141824.26514988241</v>
      </c>
      <c r="R17" s="6">
        <f>IF(A17&lt;=Inputs!$B$6,N17,NA())</f>
        <v>151932.0205015323</v>
      </c>
      <c r="S17" s="1">
        <f>IF(A17&lt;=Inputs!$B$6,G17,NA())</f>
        <v>141824.26514988241</v>
      </c>
      <c r="T17" s="6">
        <f>IF(A17&lt;=Inputs!$B$6,N17,NA())</f>
        <v>151932.0205015323</v>
      </c>
      <c r="U17" s="6" t="e">
        <f>IF(A17=Inputs!$B$6,(Inputs!$B$16*Inputs!$B$24/100),NA())</f>
        <v>#N/A</v>
      </c>
      <c r="V17" s="6" t="e">
        <f>IF(A17=Inputs!$B$6,(Inputs!$E$16*Inputs!$E$24/100),NA())</f>
        <v>#N/A</v>
      </c>
      <c r="W17" s="6">
        <f>W16+((J17+K17+L17+IF(A17=0,Inputs!$E$16,0))*P17)</f>
        <v>193385.83366763152</v>
      </c>
      <c r="X17">
        <f t="shared" si="2"/>
        <v>-10107.755351649888</v>
      </c>
      <c r="Y17">
        <f t="shared" si="3"/>
        <v>-10107.755351649888</v>
      </c>
      <c r="Z17" t="e">
        <f t="shared" si="4"/>
        <v>#N/A</v>
      </c>
    </row>
    <row r="18" spans="1:26">
      <c r="A18" s="4">
        <v>14</v>
      </c>
      <c r="B18" s="5">
        <f>Inputs!$B$9*(1+Inputs!$B$10/100)^14</f>
        <v>0.45377691745653326</v>
      </c>
      <c r="C18" s="6">
        <f>Inputs!$B$17*B18</f>
        <v>2098.7182432364662</v>
      </c>
      <c r="D18" s="6">
        <f>Inputs!$B$19*(1+Inputs!$B$11/100)^14</f>
        <v>4355.849518766674</v>
      </c>
      <c r="E18" s="6">
        <f>IF(A18=0,0,IF(MOD(A18,Inputs!$B$21)=0,Inputs!$B$16*Inputs!$B$23,0))</f>
        <v>0</v>
      </c>
      <c r="F18" s="6">
        <f>C18+D18+E18+IF(A18=0,Inputs!$B$16,0)</f>
        <v>6454.5677620031402</v>
      </c>
      <c r="G18" s="6">
        <f t="shared" si="5"/>
        <v>148278.83291188555</v>
      </c>
      <c r="H18" s="6">
        <f t="shared" si="0"/>
        <v>2854.8615457879359</v>
      </c>
      <c r="I18">
        <f>1/(1+Inputs!$B$12/100)^A18</f>
        <v>0.44230096437967292</v>
      </c>
      <c r="J18" s="6">
        <f>Inputs!$E$17*B18</f>
        <v>822.69755134869479</v>
      </c>
      <c r="K18" s="6">
        <f>Inputs!$E$19*(1+Inputs!$B$11/100)^14</f>
        <v>1781.9384394954577</v>
      </c>
      <c r="L18" s="6">
        <f>IF(A18=0,0,IF(MOD(A18,Inputs!$E$21)=0,Inputs!$E$16*Inputs!$E$23,0))</f>
        <v>0</v>
      </c>
      <c r="M18" s="6">
        <f>J18+K18+L18+IF(A18=0,Inputs!$E$16,0)</f>
        <v>2604.6359908441527</v>
      </c>
      <c r="N18" s="6">
        <f t="shared" si="6"/>
        <v>154536.65649237647</v>
      </c>
      <c r="O18" s="6">
        <f t="shared" si="1"/>
        <v>1152.0330106083736</v>
      </c>
      <c r="P18" s="7">
        <f>IF(A18&lt;=Inputs!$B$6,A18,NA())</f>
        <v>14</v>
      </c>
      <c r="Q18" s="6">
        <f>IF(A18&lt;=Inputs!$B$6,G18,NA())</f>
        <v>148278.83291188555</v>
      </c>
      <c r="R18" s="6">
        <f>IF(A18&lt;=Inputs!$B$6,N18,NA())</f>
        <v>154536.65649237647</v>
      </c>
      <c r="S18" s="1">
        <f>IF(A18&lt;=Inputs!$B$6,G18,NA())</f>
        <v>148278.83291188555</v>
      </c>
      <c r="T18" s="6">
        <f>IF(A18&lt;=Inputs!$B$6,N18,NA())</f>
        <v>154536.65649237647</v>
      </c>
      <c r="U18" s="6" t="e">
        <f>IF(A18=Inputs!$B$6,(Inputs!$B$16*Inputs!$B$24/100),NA())</f>
        <v>#N/A</v>
      </c>
      <c r="V18" s="6" t="e">
        <f>IF(A18=Inputs!$B$6,(Inputs!$E$16*Inputs!$E$24/100),NA())</f>
        <v>#N/A</v>
      </c>
      <c r="W18" s="6">
        <f>W17+((J18+K18+L18+IF(A18=0,Inputs!$E$16,0))*P18)</f>
        <v>229850.73753944965</v>
      </c>
      <c r="X18">
        <f t="shared" si="2"/>
        <v>-6257.82358049092</v>
      </c>
      <c r="Y18">
        <f t="shared" si="3"/>
        <v>-6257.82358049092</v>
      </c>
      <c r="Z18" t="e">
        <f t="shared" si="4"/>
        <v>#N/A</v>
      </c>
    </row>
    <row r="19" spans="1:26">
      <c r="A19" s="4">
        <v>15</v>
      </c>
      <c r="B19" s="5">
        <f>Inputs!$B$9*(1+Inputs!$B$10/100)^15</f>
        <v>0.46739022498022931</v>
      </c>
      <c r="C19" s="6">
        <f>Inputs!$B$17*B19</f>
        <v>2161.6797905335607</v>
      </c>
      <c r="D19" s="6">
        <f>Inputs!$B$19*(1+Inputs!$B$11/100)^15</f>
        <v>4573.641994705009</v>
      </c>
      <c r="E19" s="6">
        <f>IF(A19=0,0,IF(MOD(A19,Inputs!$B$21)=0,Inputs!$B$16*Inputs!$B$23,0))</f>
        <v>0</v>
      </c>
      <c r="F19" s="6">
        <f>C19+D19+E19+IF(A19=0,Inputs!$B$16,0)</f>
        <v>6735.3217852385696</v>
      </c>
      <c r="G19" s="6">
        <f t="shared" si="5"/>
        <v>155014.15469712412</v>
      </c>
      <c r="H19" s="6">
        <f t="shared" si="0"/>
        <v>2810.4144537909801</v>
      </c>
      <c r="I19">
        <f>1/(1+Inputs!$B$12/100)^A19</f>
        <v>0.41726506073554037</v>
      </c>
      <c r="J19" s="6">
        <f>Inputs!$E$17*B19</f>
        <v>847.37847788915576</v>
      </c>
      <c r="K19" s="6">
        <f>Inputs!$E$19*(1+Inputs!$B$11/100)^15</f>
        <v>1871.035361470231</v>
      </c>
      <c r="L19" s="6">
        <f>IF(A19=0,0,IF(MOD(A19,Inputs!$E$21)=0,Inputs!$E$16*Inputs!$E$23,0))</f>
        <v>0</v>
      </c>
      <c r="M19" s="6">
        <f>J19+K19+L19+IF(A19=0,Inputs!$E$16,0)</f>
        <v>2718.4138393593867</v>
      </c>
      <c r="N19" s="6">
        <f t="shared" si="6"/>
        <v>157255.07033173586</v>
      </c>
      <c r="O19" s="6">
        <f t="shared" si="1"/>
        <v>1134.2991157846279</v>
      </c>
      <c r="P19" s="7">
        <f>IF(A19&lt;=Inputs!$B$6,A19,NA())</f>
        <v>15</v>
      </c>
      <c r="Q19" s="6">
        <f>IF(A19&lt;=Inputs!$B$6,G19,NA())</f>
        <v>155014.15469712412</v>
      </c>
      <c r="R19" s="6">
        <f>IF(A19&lt;=Inputs!$B$6,N19,NA())</f>
        <v>157255.07033173586</v>
      </c>
      <c r="S19" s="1">
        <f>IF(A19&lt;=Inputs!$B$6,G19,NA())</f>
        <v>155014.15469712412</v>
      </c>
      <c r="T19" s="6">
        <f>IF(A19&lt;=Inputs!$B$6,N19,NA())</f>
        <v>157255.07033173586</v>
      </c>
      <c r="U19" s="6" t="e">
        <f>IF(A19=Inputs!$B$6,(Inputs!$B$16*Inputs!$B$24/100),NA())</f>
        <v>#N/A</v>
      </c>
      <c r="V19" s="6" t="e">
        <f>IF(A19=Inputs!$B$6,(Inputs!$E$16*Inputs!$E$24/100),NA())</f>
        <v>#N/A</v>
      </c>
      <c r="W19" s="6">
        <f>W18+((J19+K19+L19+IF(A19=0,Inputs!$E$16,0))*P19)</f>
        <v>270626.94512984046</v>
      </c>
      <c r="X19">
        <f t="shared" si="2"/>
        <v>-2240.9156346117379</v>
      </c>
      <c r="Y19">
        <f t="shared" si="3"/>
        <v>-2240.9156346117379</v>
      </c>
      <c r="Z19" t="e">
        <f t="shared" si="4"/>
        <v>#N/A</v>
      </c>
    </row>
    <row r="20" spans="1:26">
      <c r="A20" s="4">
        <v>16</v>
      </c>
      <c r="B20" s="5">
        <f>Inputs!$B$9*(1+Inputs!$B$10/100)^16</f>
        <v>0.48141193172963609</v>
      </c>
      <c r="C20" s="6">
        <f>Inputs!$B$17*B20</f>
        <v>2226.5301842495669</v>
      </c>
      <c r="D20" s="6">
        <f>Inputs!$B$19*(1+Inputs!$B$11/100)^16</f>
        <v>4802.3240944402596</v>
      </c>
      <c r="E20" s="6">
        <f>IF(A20=0,0,IF(MOD(A20,Inputs!$B$21)=0,Inputs!$B$16*Inputs!$B$23,0))</f>
        <v>0</v>
      </c>
      <c r="F20" s="6">
        <f>C20+D20+E20+IF(A20=0,Inputs!$B$16,0)</f>
        <v>7028.854278689827</v>
      </c>
      <c r="G20" s="6">
        <f t="shared" si="5"/>
        <v>162043.00897581395</v>
      </c>
      <c r="H20" s="6">
        <f t="shared" si="0"/>
        <v>2766.8823655648816</v>
      </c>
      <c r="I20">
        <f>1/(1+Inputs!$B$12/100)^A20</f>
        <v>0.39364628371277405</v>
      </c>
      <c r="J20" s="6">
        <f>Inputs!$E$17*B20</f>
        <v>872.79983222583019</v>
      </c>
      <c r="K20" s="6">
        <f>Inputs!$E$19*(1+Inputs!$B$11/100)^16</f>
        <v>1964.5871295437425</v>
      </c>
      <c r="L20" s="6">
        <f>IF(A20=0,0,IF(MOD(A20,Inputs!$E$21)=0,Inputs!$E$16*Inputs!$E$23,0))</f>
        <v>0</v>
      </c>
      <c r="M20" s="6">
        <f>J20+K20+L20+IF(A20=0,Inputs!$E$16,0)</f>
        <v>2837.3869617695727</v>
      </c>
      <c r="N20" s="6">
        <f t="shared" si="6"/>
        <v>160092.45729350543</v>
      </c>
      <c r="O20" s="6">
        <f t="shared" si="1"/>
        <v>1116.9268329556712</v>
      </c>
      <c r="P20" s="7">
        <f>IF(A20&lt;=Inputs!$B$6,A20,NA())</f>
        <v>16</v>
      </c>
      <c r="Q20" s="6">
        <f>IF(A20&lt;=Inputs!$B$6,G20,NA())</f>
        <v>162043.00897581395</v>
      </c>
      <c r="R20" s="6">
        <f>IF(A20&lt;=Inputs!$B$6,N20,NA())</f>
        <v>160092.45729350543</v>
      </c>
      <c r="S20" s="1">
        <f>IF(A20&lt;=Inputs!$B$6,G20,NA())</f>
        <v>162043.00897581395</v>
      </c>
      <c r="T20" s="6">
        <f>IF(A20&lt;=Inputs!$B$6,N20,NA())</f>
        <v>160092.45729350543</v>
      </c>
      <c r="U20" s="6" t="e">
        <f>IF(A20=Inputs!$B$6,(Inputs!$B$16*Inputs!$B$24/100),NA())</f>
        <v>#N/A</v>
      </c>
      <c r="V20" s="6" t="e">
        <f>IF(A20=Inputs!$B$6,(Inputs!$E$16*Inputs!$E$24/100),NA())</f>
        <v>#N/A</v>
      </c>
      <c r="W20" s="6">
        <f>W19+((J20+K20+L20+IF(A20=0,Inputs!$E$16,0))*P20)</f>
        <v>316025.13651815359</v>
      </c>
      <c r="X20">
        <f t="shared" si="2"/>
        <v>1950.55168230852</v>
      </c>
      <c r="Y20">
        <f t="shared" si="3"/>
        <v>1950.55168230852</v>
      </c>
      <c r="Z20" t="e">
        <f t="shared" si="4"/>
        <v>#N/A</v>
      </c>
    </row>
    <row r="21" spans="1:26">
      <c r="A21" s="4">
        <v>17</v>
      </c>
      <c r="B21" s="5">
        <f>Inputs!$B$9*(1+Inputs!$B$10/100)^17</f>
        <v>0.49585428968152517</v>
      </c>
      <c r="C21" s="6">
        <f>Inputs!$B$17*B21</f>
        <v>2293.3260897770538</v>
      </c>
      <c r="D21" s="6">
        <f>Inputs!$B$19*(1+Inputs!$B$11/100)^17</f>
        <v>5042.4402991622728</v>
      </c>
      <c r="E21" s="6">
        <f>IF(A21=0,0,IF(MOD(A21,Inputs!$B$21)=0,Inputs!$B$16*Inputs!$B$23,0))</f>
        <v>0</v>
      </c>
      <c r="F21" s="6">
        <f>C21+D21+E21+IF(A21=0,Inputs!$B$16,0)</f>
        <v>7335.7663889393261</v>
      </c>
      <c r="G21" s="6">
        <f t="shared" si="5"/>
        <v>169378.77536475327</v>
      </c>
      <c r="H21" s="6">
        <f t="shared" si="0"/>
        <v>2724.2426199915485</v>
      </c>
      <c r="I21">
        <f>1/(1+Inputs!$B$12/100)^A21</f>
        <v>0.37136441859695657</v>
      </c>
      <c r="J21" s="6">
        <f>Inputs!$E$17*B21</f>
        <v>898.98382719260519</v>
      </c>
      <c r="K21" s="6">
        <f>Inputs!$E$19*(1+Inputs!$B$11/100)^17</f>
        <v>2062.8164860209299</v>
      </c>
      <c r="L21" s="6">
        <f>IF(A21=0,0,IF(MOD(A21,Inputs!$E$21)=0,Inputs!$E$16*Inputs!$E$23,0))</f>
        <v>0</v>
      </c>
      <c r="M21" s="6">
        <f>J21+K21+L21+IF(A21=0,Inputs!$E$16,0)</f>
        <v>2961.800313213535</v>
      </c>
      <c r="N21" s="6">
        <f t="shared" si="6"/>
        <v>163054.25760671898</v>
      </c>
      <c r="O21" s="6">
        <f t="shared" si="1"/>
        <v>1099.9072513168283</v>
      </c>
      <c r="P21" s="7">
        <f>IF(A21&lt;=Inputs!$B$6,A21,NA())</f>
        <v>17</v>
      </c>
      <c r="Q21" s="6">
        <f>IF(A21&lt;=Inputs!$B$6,G21,NA())</f>
        <v>169378.77536475327</v>
      </c>
      <c r="R21" s="6">
        <f>IF(A21&lt;=Inputs!$B$6,N21,NA())</f>
        <v>163054.25760671898</v>
      </c>
      <c r="S21" s="1">
        <f>IF(A21&lt;=Inputs!$B$6,G21,NA())</f>
        <v>169378.77536475327</v>
      </c>
      <c r="T21" s="6">
        <f>IF(A21&lt;=Inputs!$B$6,N21,NA())</f>
        <v>163054.25760671898</v>
      </c>
      <c r="U21" s="6" t="e">
        <f>IF(A21=Inputs!$B$6,(Inputs!$B$16*Inputs!$B$24/100),NA())</f>
        <v>#N/A</v>
      </c>
      <c r="V21" s="6" t="e">
        <f>IF(A21=Inputs!$B$6,(Inputs!$E$16*Inputs!$E$24/100),NA())</f>
        <v>#N/A</v>
      </c>
      <c r="W21" s="6">
        <f>W20+((J21+K21+L21+IF(A21=0,Inputs!$E$16,0))*P21)</f>
        <v>366375.7418427837</v>
      </c>
      <c r="X21">
        <f t="shared" si="2"/>
        <v>6324.5177580342861</v>
      </c>
      <c r="Y21">
        <f t="shared" si="3"/>
        <v>6324.5177580342861</v>
      </c>
      <c r="Z21" t="e">
        <f t="shared" si="4"/>
        <v>#N/A</v>
      </c>
    </row>
    <row r="22" spans="1:26">
      <c r="A22" s="4">
        <v>18</v>
      </c>
      <c r="B22" s="5">
        <f>Inputs!$B$9*(1+Inputs!$B$10/100)^18</f>
        <v>0.5107299183719709</v>
      </c>
      <c r="C22" s="6">
        <f>Inputs!$B$17*B22</f>
        <v>2362.1258724703653</v>
      </c>
      <c r="D22" s="6">
        <f>Inputs!$B$19*(1+Inputs!$B$11/100)^18</f>
        <v>5294.5623141203869</v>
      </c>
      <c r="E22" s="6">
        <f>IF(A22=0,0,IF(MOD(A22,Inputs!$B$21)=0,Inputs!$B$16*Inputs!$B$23,0))</f>
        <v>0</v>
      </c>
      <c r="F22" s="6">
        <f>C22+D22+E22+IF(A22=0,Inputs!$B$16,0)</f>
        <v>7656.6881865907526</v>
      </c>
      <c r="G22" s="6">
        <f t="shared" si="5"/>
        <v>177035.46355134403</v>
      </c>
      <c r="H22" s="6">
        <f t="shared" si="0"/>
        <v>2682.4731667843971</v>
      </c>
      <c r="I22">
        <f>1/(1+Inputs!$B$12/100)^A22</f>
        <v>0.35034379112920433</v>
      </c>
      <c r="J22" s="6">
        <f>Inputs!$E$17*B22</f>
        <v>925.95334200838329</v>
      </c>
      <c r="K22" s="6">
        <f>Inputs!$E$19*(1+Inputs!$B$11/100)^18</f>
        <v>2165.9573103219764</v>
      </c>
      <c r="L22" s="6">
        <f>IF(A22=0,0,IF(MOD(A22,Inputs!$E$21)=0,Inputs!$E$16*Inputs!$E$23,0))</f>
        <v>0</v>
      </c>
      <c r="M22" s="6">
        <f>J22+K22+L22+IF(A22=0,Inputs!$E$16,0)</f>
        <v>3091.9106523303599</v>
      </c>
      <c r="N22" s="6">
        <f t="shared" si="6"/>
        <v>166146.16825904933</v>
      </c>
      <c r="O22" s="6">
        <f t="shared" si="1"/>
        <v>1083.2316997701896</v>
      </c>
      <c r="P22" s="7">
        <f>IF(A22&lt;=Inputs!$B$6,A22,NA())</f>
        <v>18</v>
      </c>
      <c r="Q22" s="6">
        <f>IF(A22&lt;=Inputs!$B$6,G22,NA())</f>
        <v>177035.46355134403</v>
      </c>
      <c r="R22" s="6">
        <f>IF(A22&lt;=Inputs!$B$6,N22,NA())</f>
        <v>166146.16825904933</v>
      </c>
      <c r="S22" s="1">
        <f>IF(A22&lt;=Inputs!$B$6,G22,NA())</f>
        <v>177035.46355134403</v>
      </c>
      <c r="T22" s="6">
        <f>IF(A22&lt;=Inputs!$B$6,N22,NA())</f>
        <v>166146.16825904933</v>
      </c>
      <c r="U22" s="6" t="e">
        <f>IF(A22=Inputs!$B$6,(Inputs!$B$16*Inputs!$B$24/100),NA())</f>
        <v>#N/A</v>
      </c>
      <c r="V22" s="6" t="e">
        <f>IF(A22=Inputs!$B$6,(Inputs!$E$16*Inputs!$E$24/100),NA())</f>
        <v>#N/A</v>
      </c>
      <c r="W22" s="6">
        <f>W21+((J22+K22+L22+IF(A22=0,Inputs!$E$16,0))*P22)</f>
        <v>422030.13358473015</v>
      </c>
      <c r="X22">
        <f t="shared" si="2"/>
        <v>10889.295292294701</v>
      </c>
      <c r="Y22">
        <f t="shared" si="3"/>
        <v>10889.295292294701</v>
      </c>
      <c r="Z22" t="e">
        <f t="shared" si="4"/>
        <v>#N/A</v>
      </c>
    </row>
    <row r="23" spans="1:26">
      <c r="A23" s="4">
        <v>19</v>
      </c>
      <c r="B23" s="5">
        <f>Inputs!$B$9*(1+Inputs!$B$10/100)^19</f>
        <v>0.52605181592313011</v>
      </c>
      <c r="C23" s="6">
        <f>Inputs!$B$17*B23</f>
        <v>2432.9896486444768</v>
      </c>
      <c r="D23" s="6">
        <f>Inputs!$B$19*(1+Inputs!$B$11/100)^19</f>
        <v>5559.2904298264057</v>
      </c>
      <c r="E23" s="6">
        <f>IF(A23=0,0,IF(MOD(A23,Inputs!$B$21)=0,Inputs!$B$16*Inputs!$B$23,0))</f>
        <v>0</v>
      </c>
      <c r="F23" s="6">
        <f>C23+D23+E23+IF(A23=0,Inputs!$B$16,0)</f>
        <v>7992.2800784708825</v>
      </c>
      <c r="G23" s="6">
        <f t="shared" si="5"/>
        <v>185027.74362981491</v>
      </c>
      <c r="H23" s="6">
        <f t="shared" si="0"/>
        <v>2641.5525494885878</v>
      </c>
      <c r="I23">
        <f>1/(1+Inputs!$B$12/100)^A23</f>
        <v>0.3305130104992493</v>
      </c>
      <c r="J23" s="6">
        <f>Inputs!$E$17*B23</f>
        <v>953.73194226863484</v>
      </c>
      <c r="K23" s="6">
        <f>Inputs!$E$19*(1+Inputs!$B$11/100)^19</f>
        <v>2274.255175838075</v>
      </c>
      <c r="L23" s="6">
        <f>IF(A23=0,0,IF(MOD(A23,Inputs!$E$21)=0,Inputs!$E$16*Inputs!$E$23,0))</f>
        <v>0</v>
      </c>
      <c r="M23" s="6">
        <f>J23+K23+L23+IF(A23=0,Inputs!$E$16,0)</f>
        <v>3227.9871181067101</v>
      </c>
      <c r="N23" s="6">
        <f t="shared" si="6"/>
        <v>169374.15537715604</v>
      </c>
      <c r="O23" s="6">
        <f t="shared" si="1"/>
        <v>1066.8917402582447</v>
      </c>
      <c r="P23" s="7">
        <f>IF(A23&lt;=Inputs!$B$6,A23,NA())</f>
        <v>19</v>
      </c>
      <c r="Q23" s="6">
        <f>IF(A23&lt;=Inputs!$B$6,G23,NA())</f>
        <v>185027.74362981491</v>
      </c>
      <c r="R23" s="6">
        <f>IF(A23&lt;=Inputs!$B$6,N23,NA())</f>
        <v>169374.15537715604</v>
      </c>
      <c r="S23" s="1">
        <f>IF(A23&lt;=Inputs!$B$6,G23,NA())</f>
        <v>185027.74362981491</v>
      </c>
      <c r="T23" s="6">
        <f>IF(A23&lt;=Inputs!$B$6,N23,NA())</f>
        <v>169374.15537715604</v>
      </c>
      <c r="U23" s="6" t="e">
        <f>IF(A23=Inputs!$B$6,(Inputs!$B$16*Inputs!$B$24/100),NA())</f>
        <v>#N/A</v>
      </c>
      <c r="V23" s="6" t="e">
        <f>IF(A23=Inputs!$B$6,(Inputs!$E$16*Inputs!$E$24/100),NA())</f>
        <v>#N/A</v>
      </c>
      <c r="W23" s="6">
        <f>W22+((J23+K23+L23+IF(A23=0,Inputs!$E$16,0))*P23)</f>
        <v>483361.88882875763</v>
      </c>
      <c r="X23">
        <f t="shared" si="2"/>
        <v>15653.588252658868</v>
      </c>
      <c r="Y23">
        <f t="shared" si="3"/>
        <v>15653.588252658868</v>
      </c>
      <c r="Z23" t="e">
        <f t="shared" si="4"/>
        <v>#N/A</v>
      </c>
    </row>
    <row r="24" spans="1:26">
      <c r="A24" s="4">
        <v>20</v>
      </c>
      <c r="B24" s="5">
        <f>Inputs!$B$9*(1+Inputs!$B$10/100)^20</f>
        <v>0.54183337040082391</v>
      </c>
      <c r="C24" s="6">
        <f>Inputs!$B$17*B24</f>
        <v>2505.9793381038107</v>
      </c>
      <c r="D24" s="6">
        <f>Inputs!$B$19*(1+Inputs!$B$11/100)^20</f>
        <v>5837.2549513177255</v>
      </c>
      <c r="E24" s="6">
        <f>IF(A24=0,0,IF(MOD(A24,Inputs!$B$21)=0,Inputs!$B$16*Inputs!$B$23,0))</f>
        <v>0</v>
      </c>
      <c r="F24" s="6">
        <f>C24+D24+E24+IF(A24=0,Inputs!$B$16,0)</f>
        <v>8343.2342894215362</v>
      </c>
      <c r="G24" s="6">
        <f t="shared" si="5"/>
        <v>193370.97791923644</v>
      </c>
      <c r="H24" s="6">
        <f t="shared" si="0"/>
        <v>2601.4598889596955</v>
      </c>
      <c r="I24">
        <f>1/(1+Inputs!$B$12/100)^A24</f>
        <v>0.31180472688608429</v>
      </c>
      <c r="J24" s="6">
        <f>Inputs!$E$17*B24</f>
        <v>982.3439005366937</v>
      </c>
      <c r="K24" s="6">
        <f>Inputs!$E$19*(1+Inputs!$B$11/100)^20</f>
        <v>2387.9679346299786</v>
      </c>
      <c r="L24" s="6">
        <f>IF(A24=0,0,IF(MOD(A24,Inputs!$E$21)=0,Inputs!$E$16*Inputs!$E$23,0))</f>
        <v>0</v>
      </c>
      <c r="M24" s="6">
        <f>J24+K24+L24+IF(A24=0,Inputs!$E$16,0)</f>
        <v>3370.3118351666722</v>
      </c>
      <c r="N24" s="6">
        <f t="shared" si="6"/>
        <v>172744.46721232272</v>
      </c>
      <c r="O24" s="6">
        <f t="shared" si="1"/>
        <v>1050.8791612850819</v>
      </c>
      <c r="P24" s="7">
        <f>IF(A24&lt;=Inputs!$B$6,A24,NA())</f>
        <v>20</v>
      </c>
      <c r="Q24" s="6">
        <f>IF(A24&lt;=Inputs!$B$6,G24,NA())</f>
        <v>193370.97791923644</v>
      </c>
      <c r="R24" s="6">
        <f>IF(A24&lt;=Inputs!$B$6,N24,NA())</f>
        <v>172744.46721232272</v>
      </c>
      <c r="S24" s="1">
        <f>IF(A24&lt;=Inputs!$B$6,G24,NA())</f>
        <v>193370.97791923644</v>
      </c>
      <c r="T24" s="6">
        <f>IF(A24&lt;=Inputs!$B$6,N24,NA())</f>
        <v>172744.46721232272</v>
      </c>
      <c r="U24" s="6">
        <f>IF(A24=Inputs!$B$6,(Inputs!$B$16*Inputs!$B$24/100),NA())</f>
        <v>7500</v>
      </c>
      <c r="V24" s="6">
        <f>IF(A24=Inputs!$B$6,(Inputs!$E$16*Inputs!$E$24/100),NA())</f>
        <v>62500</v>
      </c>
      <c r="W24" s="6">
        <f>W23+((J24+K24+L24+IF(A24=0,Inputs!$E$16,0))*P24)</f>
        <v>550768.12553209113</v>
      </c>
      <c r="X24">
        <f t="shared" si="2"/>
        <v>20626.510706913716</v>
      </c>
      <c r="Y24">
        <f t="shared" si="3"/>
        <v>20626.510706913716</v>
      </c>
      <c r="Z24">
        <f t="shared" si="4"/>
        <v>165244.46721232272</v>
      </c>
    </row>
    <row r="25" spans="1:26">
      <c r="A25" s="4">
        <v>21</v>
      </c>
      <c r="B25" s="5">
        <f>Inputs!$B$9*(1+Inputs!$B$10/100)^21</f>
        <v>0.55808837151284862</v>
      </c>
      <c r="C25" s="6">
        <f>Inputs!$B$17*B25</f>
        <v>2581.1587182469248</v>
      </c>
      <c r="D25" s="6">
        <f>Inputs!$B$19*(1+Inputs!$B$11/100)^21</f>
        <v>6129.1176988836123</v>
      </c>
      <c r="E25" s="6">
        <f>IF(A25=0,0,IF(MOD(A25,Inputs!$B$21)=0,Inputs!$B$16*Inputs!$B$23,0))</f>
        <v>0</v>
      </c>
      <c r="F25" s="6">
        <f>C25+D25+E25+IF(A25=0,Inputs!$B$16,0)</f>
        <v>8710.2764171305371</v>
      </c>
      <c r="G25" s="6">
        <f t="shared" si="5"/>
        <v>202081.25433636698</v>
      </c>
      <c r="H25" s="6">
        <f t="shared" si="0"/>
        <v>2562.174867307252</v>
      </c>
      <c r="I25">
        <f>1/(1+Inputs!$B$12/100)^A25</f>
        <v>0.29415540272272095</v>
      </c>
      <c r="J25" s="6">
        <f>Inputs!$E$17*B25</f>
        <v>1011.8142175527945</v>
      </c>
      <c r="K25" s="6">
        <f>Inputs!$E$19*(1+Inputs!$B$11/100)^21</f>
        <v>2507.3663313614775</v>
      </c>
      <c r="L25" s="6">
        <f>IF(A25=0,0,IF(MOD(A25,Inputs!$E$21)=0,Inputs!$E$16*Inputs!$E$23,0))</f>
        <v>0</v>
      </c>
      <c r="M25" s="6">
        <f>J25+K25+L25+IF(A25=0,Inputs!$E$16,0)</f>
        <v>3519.1805489142721</v>
      </c>
      <c r="N25" s="6">
        <f t="shared" si="6"/>
        <v>176263.64776123699</v>
      </c>
      <c r="O25" s="6">
        <f t="shared" si="1"/>
        <v>1035.1859716198439</v>
      </c>
      <c r="P25" s="7" t="e">
        <f>IF(A25&lt;=Inputs!$B$6,A25,NA())</f>
        <v>#N/A</v>
      </c>
      <c r="Q25" s="6" t="e">
        <f>IF(A25&lt;=Inputs!$B$6,G25,NA())</f>
        <v>#N/A</v>
      </c>
      <c r="R25" s="6" t="e">
        <f>IF(A25&lt;=Inputs!$B$6,N25,NA())</f>
        <v>#N/A</v>
      </c>
      <c r="S25" s="1" t="e">
        <f>IF(A25&lt;=Inputs!$B$6,G25,NA())</f>
        <v>#N/A</v>
      </c>
      <c r="T25" s="6" t="e">
        <f>IF(A25&lt;=Inputs!$B$6,N25,NA())</f>
        <v>#N/A</v>
      </c>
      <c r="U25" s="6" t="e">
        <f>IF(A25=Inputs!$B$6,(Inputs!$B$16*Inputs!$B$24/100),NA())</f>
        <v>#N/A</v>
      </c>
      <c r="V25" s="6" t="e">
        <f>IF(A25=Inputs!$B$6,(Inputs!$E$16*Inputs!$E$24/100),NA())</f>
        <v>#N/A</v>
      </c>
      <c r="W25" s="6" t="e">
        <f>W24+((J25+K25+L25+IF(A25=0,Inputs!$E$16,0))*P25)</f>
        <v>#N/A</v>
      </c>
      <c r="X25">
        <f t="shared" si="2"/>
        <v>25817.60657512999</v>
      </c>
      <c r="Y25" t="e">
        <f t="shared" si="3"/>
        <v>#N/A</v>
      </c>
      <c r="Z25" t="e">
        <f t="shared" si="4"/>
        <v>#N/A</v>
      </c>
    </row>
    <row r="26" spans="1:26">
      <c r="A26" s="4">
        <v>22</v>
      </c>
      <c r="B26" s="5">
        <f>Inputs!$B$9*(1+Inputs!$B$10/100)^22</f>
        <v>0.57483102265823416</v>
      </c>
      <c r="C26" s="6">
        <f>Inputs!$B$17*B26</f>
        <v>2658.5934797943328</v>
      </c>
      <c r="D26" s="6">
        <f>Inputs!$B$19*(1+Inputs!$B$11/100)^22</f>
        <v>6435.5735838277924</v>
      </c>
      <c r="E26" s="6">
        <f>IF(A26=0,0,IF(MOD(A26,Inputs!$B$21)=0,Inputs!$B$16*Inputs!$B$23,0))</f>
        <v>0</v>
      </c>
      <c r="F26" s="6">
        <f>C26+D26+E26+IF(A26=0,Inputs!$B$16,0)</f>
        <v>9094.1670636221243</v>
      </c>
      <c r="G26" s="6">
        <f t="shared" si="5"/>
        <v>211175.42139998911</v>
      </c>
      <c r="H26" s="6">
        <f t="shared" si="0"/>
        <v>2523.6777122900662</v>
      </c>
      <c r="I26">
        <f>1/(1+Inputs!$B$12/100)^A26</f>
        <v>0.27750509690822728</v>
      </c>
      <c r="J26" s="6">
        <f>Inputs!$E$17*B26</f>
        <v>1042.1686440793785</v>
      </c>
      <c r="K26" s="6">
        <f>Inputs!$E$19*(1+Inputs!$B$11/100)^22</f>
        <v>2632.7346479295516</v>
      </c>
      <c r="L26" s="6">
        <f>IF(A26=0,0,IF(MOD(A26,Inputs!$E$21)=0,Inputs!$E$16*Inputs!$E$23,0))</f>
        <v>0</v>
      </c>
      <c r="M26" s="6">
        <f>J26+K26+L26+IF(A26=0,Inputs!$E$16,0)</f>
        <v>3674.9032920089303</v>
      </c>
      <c r="N26" s="6">
        <f t="shared" si="6"/>
        <v>179938.55105324593</v>
      </c>
      <c r="O26" s="6">
        <f t="shared" si="1"/>
        <v>1019.8043941773017</v>
      </c>
      <c r="P26" s="7" t="e">
        <f>IF(A26&lt;=Inputs!$B$6,A26,NA())</f>
        <v>#N/A</v>
      </c>
      <c r="Q26" s="6" t="e">
        <f>IF(A26&lt;=Inputs!$B$6,G26,NA())</f>
        <v>#N/A</v>
      </c>
      <c r="R26" s="6" t="e">
        <f>IF(A26&lt;=Inputs!$B$6,N26,NA())</f>
        <v>#N/A</v>
      </c>
      <c r="S26" s="1" t="e">
        <f>IF(A26&lt;=Inputs!$B$6,G26,NA())</f>
        <v>#N/A</v>
      </c>
      <c r="T26" s="6" t="e">
        <f>IF(A26&lt;=Inputs!$B$6,N26,NA())</f>
        <v>#N/A</v>
      </c>
      <c r="U26" s="6" t="e">
        <f>IF(A26=Inputs!$B$6,(Inputs!$B$16*Inputs!$B$24/100),NA())</f>
        <v>#N/A</v>
      </c>
      <c r="V26" s="6" t="e">
        <f>IF(A26=Inputs!$B$6,(Inputs!$E$16*Inputs!$E$24/100),NA())</f>
        <v>#N/A</v>
      </c>
      <c r="W26" s="6" t="e">
        <f>W25+((J26+K26+L26+IF(A26=0,Inputs!$E$16,0))*P26)</f>
        <v>#N/A</v>
      </c>
      <c r="X26">
        <f t="shared" si="2"/>
        <v>31236.870346743177</v>
      </c>
      <c r="Y26" t="e">
        <f t="shared" si="3"/>
        <v>#N/A</v>
      </c>
      <c r="Z26" t="e">
        <f t="shared" si="4"/>
        <v>#N/A</v>
      </c>
    </row>
    <row r="27" spans="1:26">
      <c r="A27" s="4">
        <v>23</v>
      </c>
      <c r="B27" s="5">
        <f>Inputs!$B$9*(1+Inputs!$B$10/100)^23</f>
        <v>0.59207595333798113</v>
      </c>
      <c r="C27" s="6">
        <f>Inputs!$B$17*B27</f>
        <v>2738.3512841881629</v>
      </c>
      <c r="D27" s="6">
        <f>Inputs!$B$19*(1+Inputs!$B$11/100)^23</f>
        <v>6757.3522630191828</v>
      </c>
      <c r="E27" s="6">
        <f>IF(A27=0,0,IF(MOD(A27,Inputs!$B$21)=0,Inputs!$B$16*Inputs!$B$23,0))</f>
        <v>0</v>
      </c>
      <c r="F27" s="6">
        <f>C27+D27+E27+IF(A27=0,Inputs!$B$16,0)</f>
        <v>9495.7035472073458</v>
      </c>
      <c r="G27" s="6">
        <f t="shared" si="5"/>
        <v>220671.12494719645</v>
      </c>
      <c r="H27" s="6">
        <f t="shared" si="0"/>
        <v>2485.9491821505399</v>
      </c>
      <c r="I27">
        <f>1/(1+Inputs!$B$12/100)^A27</f>
        <v>0.26179726123417668</v>
      </c>
      <c r="J27" s="6">
        <f>Inputs!$E$17*B27</f>
        <v>1073.4337034017599</v>
      </c>
      <c r="K27" s="6">
        <f>Inputs!$E$19*(1+Inputs!$B$11/100)^23</f>
        <v>2764.3713803260293</v>
      </c>
      <c r="L27" s="6">
        <f>IF(A27=0,0,IF(MOD(A27,Inputs!$E$21)=0,Inputs!$E$16*Inputs!$E$23,0))</f>
        <v>0</v>
      </c>
      <c r="M27" s="6">
        <f>J27+K27+L27+IF(A27=0,Inputs!$E$16,0)</f>
        <v>3837.8050837277892</v>
      </c>
      <c r="N27" s="6">
        <f t="shared" si="6"/>
        <v>183776.35613697371</v>
      </c>
      <c r="O27" s="6">
        <f t="shared" si="1"/>
        <v>1004.7268600705354</v>
      </c>
      <c r="P27" s="7" t="e">
        <f>IF(A27&lt;=Inputs!$B$6,A27,NA())</f>
        <v>#N/A</v>
      </c>
      <c r="Q27" s="6" t="e">
        <f>IF(A27&lt;=Inputs!$B$6,G27,NA())</f>
        <v>#N/A</v>
      </c>
      <c r="R27" s="6" t="e">
        <f>IF(A27&lt;=Inputs!$B$6,N27,NA())</f>
        <v>#N/A</v>
      </c>
      <c r="S27" s="1" t="e">
        <f>IF(A27&lt;=Inputs!$B$6,G27,NA())</f>
        <v>#N/A</v>
      </c>
      <c r="T27" s="6" t="e">
        <f>IF(A27&lt;=Inputs!$B$6,N27,NA())</f>
        <v>#N/A</v>
      </c>
      <c r="U27" s="6" t="e">
        <f>IF(A27=Inputs!$B$6,(Inputs!$B$16*Inputs!$B$24/100),NA())</f>
        <v>#N/A</v>
      </c>
      <c r="V27" s="6" t="e">
        <f>IF(A27=Inputs!$B$6,(Inputs!$E$16*Inputs!$E$24/100),NA())</f>
        <v>#N/A</v>
      </c>
      <c r="W27" s="6" t="e">
        <f>W26+((J27+K27+L27+IF(A27=0,Inputs!$E$16,0))*P27)</f>
        <v>#N/A</v>
      </c>
      <c r="X27">
        <f t="shared" si="2"/>
        <v>36894.76881022274</v>
      </c>
      <c r="Y27" t="e">
        <f t="shared" si="3"/>
        <v>#N/A</v>
      </c>
      <c r="Z27" t="e">
        <f t="shared" si="4"/>
        <v>#N/A</v>
      </c>
    </row>
    <row r="28" spans="1:26">
      <c r="A28" s="4">
        <v>24</v>
      </c>
      <c r="B28" s="5">
        <f>Inputs!$B$9*(1+Inputs!$B$10/100)^24</f>
        <v>0.60983823193812048</v>
      </c>
      <c r="C28" s="6">
        <f>Inputs!$B$17*B28</f>
        <v>2820.5018227138071</v>
      </c>
      <c r="D28" s="6">
        <f>Inputs!$B$19*(1+Inputs!$B$11/100)^24</f>
        <v>7095.2198761701411</v>
      </c>
      <c r="E28" s="6">
        <f>IF(A28=0,0,IF(MOD(A28,Inputs!$B$21)=0,Inputs!$B$16*Inputs!$B$23,0))</f>
        <v>0</v>
      </c>
      <c r="F28" s="6">
        <f>C28+D28+E28+IF(A28=0,Inputs!$B$16,0)</f>
        <v>9915.7216988839482</v>
      </c>
      <c r="G28" s="6">
        <f t="shared" si="5"/>
        <v>230586.8466460804</v>
      </c>
      <c r="H28" s="6">
        <f t="shared" si="0"/>
        <v>2448.9705508755806</v>
      </c>
      <c r="I28">
        <f>1/(1+Inputs!$B$12/100)^A28</f>
        <v>0.24697854833412897</v>
      </c>
      <c r="J28" s="6">
        <f>Inputs!$E$17*B28</f>
        <v>1105.6367145038125</v>
      </c>
      <c r="K28" s="6">
        <f>Inputs!$E$19*(1+Inputs!$B$11/100)^24</f>
        <v>2902.5899493423308</v>
      </c>
      <c r="L28" s="6">
        <f>IF(A28=0,0,IF(MOD(A28,Inputs!$E$21)=0,Inputs!$E$16*Inputs!$E$23,0))</f>
        <v>0</v>
      </c>
      <c r="M28" s="6">
        <f>J28+K28+L28+IF(A28=0,Inputs!$E$16,0)</f>
        <v>4008.2266638461433</v>
      </c>
      <c r="N28" s="6">
        <f t="shared" si="6"/>
        <v>187784.58280081986</v>
      </c>
      <c r="O28" s="6">
        <f t="shared" si="1"/>
        <v>989.94600283086925</v>
      </c>
      <c r="P28" s="7" t="e">
        <f>IF(A28&lt;=Inputs!$B$6,A28,NA())</f>
        <v>#N/A</v>
      </c>
      <c r="Q28" s="6" t="e">
        <f>IF(A28&lt;=Inputs!$B$6,G28,NA())</f>
        <v>#N/A</v>
      </c>
      <c r="R28" s="6" t="e">
        <f>IF(A28&lt;=Inputs!$B$6,N28,NA())</f>
        <v>#N/A</v>
      </c>
      <c r="S28" s="1" t="e">
        <f>IF(A28&lt;=Inputs!$B$6,G28,NA())</f>
        <v>#N/A</v>
      </c>
      <c r="T28" s="6" t="e">
        <f>IF(A28&lt;=Inputs!$B$6,N28,NA())</f>
        <v>#N/A</v>
      </c>
      <c r="U28" s="6" t="e">
        <f>IF(A28=Inputs!$B$6,(Inputs!$B$16*Inputs!$B$24/100),NA())</f>
        <v>#N/A</v>
      </c>
      <c r="V28" s="6" t="e">
        <f>IF(A28=Inputs!$B$6,(Inputs!$E$16*Inputs!$E$24/100),NA())</f>
        <v>#N/A</v>
      </c>
      <c r="W28" s="6" t="e">
        <f>W27+((J28+K28+L28+IF(A28=0,Inputs!$E$16,0))*P28)</f>
        <v>#N/A</v>
      </c>
      <c r="X28">
        <f t="shared" si="2"/>
        <v>42802.263845260546</v>
      </c>
      <c r="Y28" t="e">
        <f t="shared" si="3"/>
        <v>#N/A</v>
      </c>
      <c r="Z28" t="e">
        <f t="shared" si="4"/>
        <v>#N/A</v>
      </c>
    </row>
    <row r="29" spans="1:26">
      <c r="A29" s="4">
        <v>25</v>
      </c>
      <c r="B29" s="5">
        <f>Inputs!$B$9*(1+Inputs!$B$10/100)^25</f>
        <v>0.62813337889626408</v>
      </c>
      <c r="C29" s="6">
        <f>Inputs!$B$17*B29</f>
        <v>2905.1168773952213</v>
      </c>
      <c r="D29" s="6">
        <f>Inputs!$B$19*(1+Inputs!$B$11/100)^25</f>
        <v>7449.980869978649</v>
      </c>
      <c r="E29" s="6">
        <f>IF(A29=0,0,IF(MOD(A29,Inputs!$B$21)=0,Inputs!$B$16*Inputs!$B$23,0))</f>
        <v>75000</v>
      </c>
      <c r="F29" s="6">
        <f>C29+D29+E29+IF(A29=0,Inputs!$B$16,0)</f>
        <v>85355.097747373875</v>
      </c>
      <c r="G29" s="6">
        <f t="shared" si="5"/>
        <v>315941.94439345429</v>
      </c>
      <c r="H29" s="6">
        <f t="shared" si="0"/>
        <v>19887.620881664228</v>
      </c>
      <c r="I29">
        <f>1/(1+Inputs!$B$12/100)^A29</f>
        <v>0.23299863050389524</v>
      </c>
      <c r="J29" s="6">
        <f>Inputs!$E$17*B29</f>
        <v>1138.8058159389268</v>
      </c>
      <c r="K29" s="6">
        <f>Inputs!$E$19*(1+Inputs!$B$11/100)^25</f>
        <v>3047.7194468094472</v>
      </c>
      <c r="L29" s="6">
        <f>IF(A29=0,0,IF(MOD(A29,Inputs!$E$21)=0,Inputs!$E$16*Inputs!$E$23,0))</f>
        <v>0</v>
      </c>
      <c r="M29" s="6">
        <f>J29+K29+L29+IF(A29=0,Inputs!$E$16,0)</f>
        <v>4186.5252627483742</v>
      </c>
      <c r="N29" s="6">
        <f t="shared" si="6"/>
        <v>191971.10806356824</v>
      </c>
      <c r="O29" s="6">
        <f t="shared" si="1"/>
        <v>975.45465279033135</v>
      </c>
      <c r="P29" s="7" t="e">
        <f>IF(A29&lt;=Inputs!$B$6,A29,NA())</f>
        <v>#N/A</v>
      </c>
      <c r="Q29" s="6" t="e">
        <f>IF(A29&lt;=Inputs!$B$6,G29,NA())</f>
        <v>#N/A</v>
      </c>
      <c r="R29" s="6" t="e">
        <f>IF(A29&lt;=Inputs!$B$6,N29,NA())</f>
        <v>#N/A</v>
      </c>
      <c r="S29" s="1" t="e">
        <f>IF(A29&lt;=Inputs!$B$6,G29,NA())</f>
        <v>#N/A</v>
      </c>
      <c r="T29" s="6" t="e">
        <f>IF(A29&lt;=Inputs!$B$6,N29,NA())</f>
        <v>#N/A</v>
      </c>
      <c r="U29" s="6" t="e">
        <f>IF(A29=Inputs!$B$6,(Inputs!$B$16*Inputs!$B$24/100),NA())</f>
        <v>#N/A</v>
      </c>
      <c r="V29" s="6" t="e">
        <f>IF(A29=Inputs!$B$6,(Inputs!$E$16*Inputs!$E$24/100),NA())</f>
        <v>#N/A</v>
      </c>
      <c r="W29" s="6" t="e">
        <f>W28+((J29+K29+L29+IF(A29=0,Inputs!$E$16,0))*P29)</f>
        <v>#N/A</v>
      </c>
      <c r="X29">
        <f t="shared" si="2"/>
        <v>123970.83632988605</v>
      </c>
      <c r="Y29" t="e">
        <f t="shared" si="3"/>
        <v>#N/A</v>
      </c>
      <c r="Z29" t="e">
        <f t="shared" si="4"/>
        <v>#N/A</v>
      </c>
    </row>
    <row r="30" spans="1:26">
      <c r="A30" s="4">
        <v>26</v>
      </c>
      <c r="B30" s="5">
        <f>Inputs!$B$9*(1+Inputs!$B$10/100)^26</f>
        <v>0.6469773802631521</v>
      </c>
      <c r="C30" s="6">
        <f>Inputs!$B$17*B30</f>
        <v>2992.2703837170784</v>
      </c>
      <c r="D30" s="6">
        <f>Inputs!$B$19*(1+Inputs!$B$11/100)^26</f>
        <v>7822.4799134775812</v>
      </c>
      <c r="E30" s="6">
        <f>IF(A30=0,0,IF(MOD(A30,Inputs!$B$21)=0,Inputs!$B$16*Inputs!$B$23,0))</f>
        <v>0</v>
      </c>
      <c r="F30" s="6">
        <f>C30+D30+E30+IF(A30=0,Inputs!$B$16,0)</f>
        <v>10814.75029719466</v>
      </c>
      <c r="G30" s="6">
        <f t="shared" si="5"/>
        <v>326756.69469064893</v>
      </c>
      <c r="H30" s="6">
        <f t="shared" si="0"/>
        <v>2377.1905740452357</v>
      </c>
      <c r="I30">
        <f>1/(1+Inputs!$B$12/100)^A30</f>
        <v>0.21981002877725966</v>
      </c>
      <c r="J30" s="6">
        <f>Inputs!$E$17*B30</f>
        <v>1172.9699904170948</v>
      </c>
      <c r="K30" s="6">
        <f>Inputs!$E$19*(1+Inputs!$B$11/100)^26</f>
        <v>3200.1054191499197</v>
      </c>
      <c r="L30" s="6">
        <f>IF(A30=0,0,IF(MOD(A30,Inputs!$E$21)=0,Inputs!$E$16*Inputs!$E$23,0))</f>
        <v>0</v>
      </c>
      <c r="M30" s="6">
        <f>J30+K30+L30+IF(A30=0,Inputs!$E$16,0)</f>
        <v>4373.0754095670145</v>
      </c>
      <c r="N30" s="6">
        <f t="shared" si="6"/>
        <v>196344.18347313526</v>
      </c>
      <c r="O30" s="6">
        <f t="shared" si="1"/>
        <v>961.24583162205204</v>
      </c>
      <c r="P30" s="7" t="e">
        <f>IF(A30&lt;=Inputs!$B$6,A30,NA())</f>
        <v>#N/A</v>
      </c>
      <c r="Q30" s="6" t="e">
        <f>IF(A30&lt;=Inputs!$B$6,G30,NA())</f>
        <v>#N/A</v>
      </c>
      <c r="R30" s="6" t="e">
        <f>IF(A30&lt;=Inputs!$B$6,N30,NA())</f>
        <v>#N/A</v>
      </c>
      <c r="S30" s="1" t="e">
        <f>IF(A30&lt;=Inputs!$B$6,G30,NA())</f>
        <v>#N/A</v>
      </c>
      <c r="T30" s="6" t="e">
        <f>IF(A30&lt;=Inputs!$B$6,N30,NA())</f>
        <v>#N/A</v>
      </c>
      <c r="U30" s="6" t="e">
        <f>IF(A30=Inputs!$B$6,(Inputs!$B$16*Inputs!$B$24/100),NA())</f>
        <v>#N/A</v>
      </c>
      <c r="V30" s="6" t="e">
        <f>IF(A30=Inputs!$B$6,(Inputs!$E$16*Inputs!$E$24/100),NA())</f>
        <v>#N/A</v>
      </c>
      <c r="W30" s="6" t="e">
        <f>W29+((J30+K30+L30+IF(A30=0,Inputs!$E$16,0))*P30)</f>
        <v>#N/A</v>
      </c>
      <c r="X30">
        <f t="shared" si="2"/>
        <v>130412.51121751367</v>
      </c>
      <c r="Y30" t="e">
        <f t="shared" si="3"/>
        <v>#N/A</v>
      </c>
      <c r="Z30" t="e">
        <f t="shared" si="4"/>
        <v>#N/A</v>
      </c>
    </row>
    <row r="31" spans="1:26">
      <c r="A31" s="4">
        <v>27</v>
      </c>
      <c r="B31" s="5">
        <f>Inputs!$B$9*(1+Inputs!$B$10/100)^27</f>
        <v>0.66638670167104663</v>
      </c>
      <c r="C31" s="6">
        <f>Inputs!$B$17*B31</f>
        <v>3082.0384952285908</v>
      </c>
      <c r="D31" s="6">
        <f>Inputs!$B$19*(1+Inputs!$B$11/100)^27</f>
        <v>8213.6039091514613</v>
      </c>
      <c r="E31" s="6">
        <f>IF(A31=0,0,IF(MOD(A31,Inputs!$B$21)=0,Inputs!$B$16*Inputs!$B$23,0))</f>
        <v>0</v>
      </c>
      <c r="F31" s="6">
        <f>C31+D31+E31+IF(A31=0,Inputs!$B$16,0)</f>
        <v>11295.642404380053</v>
      </c>
      <c r="G31" s="6">
        <f t="shared" si="5"/>
        <v>338052.33709502901</v>
      </c>
      <c r="H31" s="6">
        <f t="shared" si="0"/>
        <v>2342.3542282683147</v>
      </c>
      <c r="I31">
        <f>1/(1+Inputs!$B$12/100)^A31</f>
        <v>0.20736795167666003</v>
      </c>
      <c r="J31" s="6">
        <f>Inputs!$E$17*B31</f>
        <v>1208.1590901296076</v>
      </c>
      <c r="K31" s="6">
        <f>Inputs!$E$19*(1+Inputs!$B$11/100)^27</f>
        <v>3360.1106901074158</v>
      </c>
      <c r="L31" s="6">
        <f>IF(A31=0,0,IF(MOD(A31,Inputs!$E$21)=0,Inputs!$E$16*Inputs!$E$23,0))</f>
        <v>0</v>
      </c>
      <c r="M31" s="6">
        <f>J31+K31+L31+IF(A31=0,Inputs!$E$16,0)</f>
        <v>4568.269780237024</v>
      </c>
      <c r="N31" s="6">
        <f t="shared" si="6"/>
        <v>200912.45325337228</v>
      </c>
      <c r="O31" s="6">
        <f t="shared" si="1"/>
        <v>947.31274703413749</v>
      </c>
      <c r="P31" s="7" t="e">
        <f>IF(A31&lt;=Inputs!$B$6,A31,NA())</f>
        <v>#N/A</v>
      </c>
      <c r="Q31" s="6" t="e">
        <f>IF(A31&lt;=Inputs!$B$6,G31,NA())</f>
        <v>#N/A</v>
      </c>
      <c r="R31" s="6" t="e">
        <f>IF(A31&lt;=Inputs!$B$6,N31,NA())</f>
        <v>#N/A</v>
      </c>
      <c r="S31" s="1" t="e">
        <f>IF(A31&lt;=Inputs!$B$6,G31,NA())</f>
        <v>#N/A</v>
      </c>
      <c r="T31" s="6" t="e">
        <f>IF(A31&lt;=Inputs!$B$6,N31,NA())</f>
        <v>#N/A</v>
      </c>
      <c r="U31" s="6" t="e">
        <f>IF(A31=Inputs!$B$6,(Inputs!$B$16*Inputs!$B$24/100),NA())</f>
        <v>#N/A</v>
      </c>
      <c r="V31" s="6" t="e">
        <f>IF(A31=Inputs!$B$6,(Inputs!$E$16*Inputs!$E$24/100),NA())</f>
        <v>#N/A</v>
      </c>
      <c r="W31" s="6" t="e">
        <f>W30+((J31+K31+L31+IF(A31=0,Inputs!$E$16,0))*P31)</f>
        <v>#N/A</v>
      </c>
      <c r="X31">
        <f t="shared" si="2"/>
        <v>137139.88384165673</v>
      </c>
      <c r="Y31" t="e">
        <f t="shared" si="3"/>
        <v>#N/A</v>
      </c>
      <c r="Z31" t="e">
        <f t="shared" si="4"/>
        <v>#N/A</v>
      </c>
    </row>
    <row r="32" spans="1:26">
      <c r="A32" s="4">
        <v>28</v>
      </c>
      <c r="B32" s="5">
        <f>Inputs!$B$9*(1+Inputs!$B$10/100)^28</f>
        <v>0.68637830272117806</v>
      </c>
      <c r="C32" s="6">
        <f>Inputs!$B$17*B32</f>
        <v>3174.4996500854486</v>
      </c>
      <c r="D32" s="6">
        <f>Inputs!$B$19*(1+Inputs!$B$11/100)^28</f>
        <v>8624.2841046090325</v>
      </c>
      <c r="E32" s="6">
        <f>IF(A32=0,0,IF(MOD(A32,Inputs!$B$21)=0,Inputs!$B$16*Inputs!$B$23,0))</f>
        <v>0</v>
      </c>
      <c r="F32" s="6">
        <f>C32+D32+E32+IF(A32=0,Inputs!$B$16,0)</f>
        <v>11798.783754694481</v>
      </c>
      <c r="G32" s="6">
        <f t="shared" si="5"/>
        <v>349851.12084972352</v>
      </c>
      <c r="H32" s="6">
        <f t="shared" si="0"/>
        <v>2308.1977542328741</v>
      </c>
      <c r="I32">
        <f>1/(1+Inputs!$B$12/100)^A32</f>
        <v>0.1956301430911887</v>
      </c>
      <c r="J32" s="6">
        <f>Inputs!$E$17*B32</f>
        <v>1244.4038628334959</v>
      </c>
      <c r="K32" s="6">
        <f>Inputs!$E$19*(1+Inputs!$B$11/100)^28</f>
        <v>3528.1162246127865</v>
      </c>
      <c r="L32" s="6">
        <f>IF(A32=0,0,IF(MOD(A32,Inputs!$E$21)=0,Inputs!$E$16*Inputs!$E$23,0))</f>
        <v>0</v>
      </c>
      <c r="M32" s="6">
        <f>J32+K32+L32+IF(A32=0,Inputs!$E$16,0)</f>
        <v>4772.5200874462826</v>
      </c>
      <c r="N32" s="6">
        <f t="shared" si="6"/>
        <v>205684.97334081857</v>
      </c>
      <c r="O32" s="6">
        <f t="shared" si="1"/>
        <v>933.64878761268869</v>
      </c>
      <c r="P32" s="7" t="e">
        <f>IF(A32&lt;=Inputs!$B$6,A32,NA())</f>
        <v>#N/A</v>
      </c>
      <c r="Q32" s="6" t="e">
        <f>IF(A32&lt;=Inputs!$B$6,G32,NA())</f>
        <v>#N/A</v>
      </c>
      <c r="R32" s="6" t="e">
        <f>IF(A32&lt;=Inputs!$B$6,N32,NA())</f>
        <v>#N/A</v>
      </c>
      <c r="S32" s="1" t="e">
        <f>IF(A32&lt;=Inputs!$B$6,G32,NA())</f>
        <v>#N/A</v>
      </c>
      <c r="T32" s="6" t="e">
        <f>IF(A32&lt;=Inputs!$B$6,N32,NA())</f>
        <v>#N/A</v>
      </c>
      <c r="U32" s="6" t="e">
        <f>IF(A32=Inputs!$B$6,(Inputs!$B$16*Inputs!$B$24/100),NA())</f>
        <v>#N/A</v>
      </c>
      <c r="V32" s="6" t="e">
        <f>IF(A32=Inputs!$B$6,(Inputs!$E$16*Inputs!$E$24/100),NA())</f>
        <v>#N/A</v>
      </c>
      <c r="W32" s="6" t="e">
        <f>W31+((J32+K32+L32+IF(A32=0,Inputs!$E$16,0))*P32)</f>
        <v>#N/A</v>
      </c>
      <c r="X32">
        <f t="shared" si="2"/>
        <v>144166.14750890495</v>
      </c>
      <c r="Y32" t="e">
        <f t="shared" si="3"/>
        <v>#N/A</v>
      </c>
      <c r="Z32" t="e">
        <f t="shared" si="4"/>
        <v>#N/A</v>
      </c>
    </row>
    <row r="33" spans="1:26">
      <c r="A33" s="4">
        <v>29</v>
      </c>
      <c r="B33" s="5">
        <f>Inputs!$B$9*(1+Inputs!$B$10/100)^29</f>
        <v>0.70696965180281335</v>
      </c>
      <c r="C33" s="6">
        <f>Inputs!$B$17*B33</f>
        <v>3269.7346395880118</v>
      </c>
      <c r="D33" s="6">
        <f>Inputs!$B$19*(1+Inputs!$B$11/100)^29</f>
        <v>9055.498309839486</v>
      </c>
      <c r="E33" s="6">
        <f>IF(A33=0,0,IF(MOD(A33,Inputs!$B$21)=0,Inputs!$B$16*Inputs!$B$23,0))</f>
        <v>0</v>
      </c>
      <c r="F33" s="6">
        <f>C33+D33+E33+IF(A33=0,Inputs!$B$16,0)</f>
        <v>12325.232949427498</v>
      </c>
      <c r="G33" s="6">
        <f t="shared" si="5"/>
        <v>362176.35379915102</v>
      </c>
      <c r="H33" s="6">
        <f t="shared" si="0"/>
        <v>2274.7047976686181</v>
      </c>
      <c r="I33">
        <f>1/(1+Inputs!$B$12/100)^A33</f>
        <v>0.18455673876527234</v>
      </c>
      <c r="J33" s="6">
        <f>Inputs!$E$17*B33</f>
        <v>1281.7359787185005</v>
      </c>
      <c r="K33" s="6">
        <f>Inputs!$E$19*(1+Inputs!$B$11/100)^29</f>
        <v>3704.5220358434262</v>
      </c>
      <c r="L33" s="6">
        <f>IF(A33=0,0,IF(MOD(A33,Inputs!$E$21)=0,Inputs!$E$16*Inputs!$E$23,0))</f>
        <v>0</v>
      </c>
      <c r="M33" s="6">
        <f>J33+K33+L33+IF(A33=0,Inputs!$E$16,0)</f>
        <v>4986.2580145619268</v>
      </c>
      <c r="N33" s="6">
        <f t="shared" si="6"/>
        <v>210671.2313553805</v>
      </c>
      <c r="O33" s="6">
        <f t="shared" si="1"/>
        <v>920.247517809751</v>
      </c>
      <c r="P33" s="7" t="e">
        <f>IF(A33&lt;=Inputs!$B$6,A33,NA())</f>
        <v>#N/A</v>
      </c>
      <c r="Q33" s="6" t="e">
        <f>IF(A33&lt;=Inputs!$B$6,G33,NA())</f>
        <v>#N/A</v>
      </c>
      <c r="R33" s="6" t="e">
        <f>IF(A33&lt;=Inputs!$B$6,N33,NA())</f>
        <v>#N/A</v>
      </c>
      <c r="S33" s="1" t="e">
        <f>IF(A33&lt;=Inputs!$B$6,G33,NA())</f>
        <v>#N/A</v>
      </c>
      <c r="T33" s="6" t="e">
        <f>IF(A33&lt;=Inputs!$B$6,N33,NA())</f>
        <v>#N/A</v>
      </c>
      <c r="U33" s="6" t="e">
        <f>IF(A33=Inputs!$B$6,(Inputs!$B$16*Inputs!$B$24/100),NA())</f>
        <v>#N/A</v>
      </c>
      <c r="V33" s="6" t="e">
        <f>IF(A33=Inputs!$B$6,(Inputs!$E$16*Inputs!$E$24/100),NA())</f>
        <v>#N/A</v>
      </c>
      <c r="W33" s="6" t="e">
        <f>W32+((J33+K33+L33+IF(A33=0,Inputs!$E$16,0))*P33)</f>
        <v>#N/A</v>
      </c>
      <c r="X33">
        <f t="shared" si="2"/>
        <v>151505.12244377052</v>
      </c>
      <c r="Y33" t="e">
        <f t="shared" si="3"/>
        <v>#N/A</v>
      </c>
      <c r="Z33" t="e">
        <f t="shared" si="4"/>
        <v>#N/A</v>
      </c>
    </row>
    <row r="34" spans="1:26">
      <c r="A34" s="4">
        <v>30</v>
      </c>
      <c r="B34" s="5">
        <f>Inputs!$B$9*(1+Inputs!$B$10/100)^30</f>
        <v>0.72817874135689775</v>
      </c>
      <c r="C34" s="6">
        <f>Inputs!$B$17*B34</f>
        <v>3367.826678775652</v>
      </c>
      <c r="D34" s="6">
        <f>Inputs!$B$19*(1+Inputs!$B$11/100)^30</f>
        <v>9508.2732253314571</v>
      </c>
      <c r="E34" s="6">
        <f>IF(A34=0,0,IF(MOD(A34,Inputs!$B$21)=0,Inputs!$B$16*Inputs!$B$23,0))</f>
        <v>0</v>
      </c>
      <c r="F34" s="6">
        <f>C34+D34+E34+IF(A34=0,Inputs!$B$16,0)</f>
        <v>12876.099904107108</v>
      </c>
      <c r="G34" s="6">
        <f t="shared" si="5"/>
        <v>375052.45370325813</v>
      </c>
      <c r="H34" s="6">
        <f t="shared" si="0"/>
        <v>2241.8594399224939</v>
      </c>
      <c r="I34">
        <f>1/(1+Inputs!$B$12/100)^A34</f>
        <v>0.17411013091063426</v>
      </c>
      <c r="J34" s="6">
        <f>Inputs!$E$17*B34</f>
        <v>1320.1880580800557</v>
      </c>
      <c r="K34" s="6">
        <f>Inputs!$E$19*(1+Inputs!$B$11/100)^30</f>
        <v>3889.7481376355963</v>
      </c>
      <c r="L34" s="6">
        <f>IF(A34=0,0,IF(MOD(A34,Inputs!$E$21)=0,Inputs!$E$16*Inputs!$E$23,0))</f>
        <v>0</v>
      </c>
      <c r="M34" s="6">
        <f>J34+K34+L34+IF(A34=0,Inputs!$E$16,0)</f>
        <v>5209.9361957156525</v>
      </c>
      <c r="N34" s="6">
        <f t="shared" si="6"/>
        <v>215881.16755109615</v>
      </c>
      <c r="O34" s="6">
        <f t="shared" si="1"/>
        <v>907.10267307210415</v>
      </c>
      <c r="P34" s="7" t="e">
        <f>IF(A34&lt;=Inputs!$B$6,A34,NA())</f>
        <v>#N/A</v>
      </c>
      <c r="Q34" s="6" t="e">
        <f>IF(A34&lt;=Inputs!$B$6,G34,NA())</f>
        <v>#N/A</v>
      </c>
      <c r="R34" s="6" t="e">
        <f>IF(A34&lt;=Inputs!$B$6,N34,NA())</f>
        <v>#N/A</v>
      </c>
      <c r="S34" s="1" t="e">
        <f>IF(A34&lt;=Inputs!$B$6,G34,NA())</f>
        <v>#N/A</v>
      </c>
      <c r="T34" s="6" t="e">
        <f>IF(A34&lt;=Inputs!$B$6,N34,NA())</f>
        <v>#N/A</v>
      </c>
      <c r="U34" s="6" t="e">
        <f>IF(A34=Inputs!$B$6,(Inputs!$B$16*Inputs!$B$24/100),NA())</f>
        <v>#N/A</v>
      </c>
      <c r="V34" s="6" t="e">
        <f>IF(A34=Inputs!$B$6,(Inputs!$E$16*Inputs!$E$24/100),NA())</f>
        <v>#N/A</v>
      </c>
      <c r="W34" s="6" t="e">
        <f>W33+((J34+K34+L34+IF(A34=0,Inputs!$E$16,0))*P34)</f>
        <v>#N/A</v>
      </c>
      <c r="X34">
        <f t="shared" si="2"/>
        <v>159171.28615216198</v>
      </c>
      <c r="Y34" t="e">
        <f t="shared" si="3"/>
        <v>#N/A</v>
      </c>
      <c r="Z34" t="e">
        <f t="shared" si="4"/>
        <v>#N/A</v>
      </c>
    </row>
    <row r="35" spans="1:26">
      <c r="A35" s="4">
        <v>31</v>
      </c>
      <c r="B35" s="5">
        <f>Inputs!$B$9*(1+Inputs!$B$10/100)^31</f>
        <v>0.75002410359760474</v>
      </c>
      <c r="C35" s="6">
        <f>Inputs!$B$17*B35</f>
        <v>3468.8614791389218</v>
      </c>
      <c r="D35" s="6">
        <f>Inputs!$B$19*(1+Inputs!$B$11/100)^31</f>
        <v>9983.6868865980341</v>
      </c>
      <c r="E35" s="6">
        <f>IF(A35=0,0,IF(MOD(A35,Inputs!$B$21)=0,Inputs!$B$16*Inputs!$B$23,0))</f>
        <v>0</v>
      </c>
      <c r="F35" s="6">
        <f>C35+D35+E35+IF(A35=0,Inputs!$B$16,0)</f>
        <v>13452.548365736955</v>
      </c>
      <c r="G35" s="6">
        <f t="shared" si="5"/>
        <v>388505.00206899509</v>
      </c>
      <c r="H35" s="6">
        <f t="shared" si="0"/>
        <v>2209.646185886887</v>
      </c>
      <c r="I35">
        <f>1/(1+Inputs!$B$12/100)^A35</f>
        <v>0.16425484048173042</v>
      </c>
      <c r="J35" s="6">
        <f>Inputs!$E$17*B35</f>
        <v>1359.7936998224575</v>
      </c>
      <c r="K35" s="6">
        <f>Inputs!$E$19*(1+Inputs!$B$11/100)^31</f>
        <v>4084.2355445173775</v>
      </c>
      <c r="L35" s="6">
        <f>IF(A35=0,0,IF(MOD(A35,Inputs!$E$21)=0,Inputs!$E$16*Inputs!$E$23,0))</f>
        <v>0</v>
      </c>
      <c r="M35" s="6">
        <f>J35+K35+L35+IF(A35=0,Inputs!$E$16,0)</f>
        <v>5444.0292443398348</v>
      </c>
      <c r="N35" s="6">
        <f t="shared" si="6"/>
        <v>221325.19679543597</v>
      </c>
      <c r="O35" s="6">
        <f t="shared" si="1"/>
        <v>894.208155106915</v>
      </c>
      <c r="P35" s="7" t="e">
        <f>IF(A35&lt;=Inputs!$B$6,A35,NA())</f>
        <v>#N/A</v>
      </c>
      <c r="Q35" s="6" t="e">
        <f>IF(A35&lt;=Inputs!$B$6,G35,NA())</f>
        <v>#N/A</v>
      </c>
      <c r="R35" s="6" t="e">
        <f>IF(A35&lt;=Inputs!$B$6,N35,NA())</f>
        <v>#N/A</v>
      </c>
      <c r="S35" s="1" t="e">
        <f>IF(A35&lt;=Inputs!$B$6,G35,NA())</f>
        <v>#N/A</v>
      </c>
      <c r="T35" s="6" t="e">
        <f>IF(A35&lt;=Inputs!$B$6,N35,NA())</f>
        <v>#N/A</v>
      </c>
      <c r="U35" s="6" t="e">
        <f>IF(A35=Inputs!$B$6,(Inputs!$B$16*Inputs!$B$24/100),NA())</f>
        <v>#N/A</v>
      </c>
      <c r="V35" s="6" t="e">
        <f>IF(A35=Inputs!$B$6,(Inputs!$E$16*Inputs!$E$24/100),NA())</f>
        <v>#N/A</v>
      </c>
      <c r="W35" s="6" t="e">
        <f>W34+((J35+K35+L35+IF(A35=0,Inputs!$E$16,0))*P35)</f>
        <v>#N/A</v>
      </c>
      <c r="X35">
        <f t="shared" si="2"/>
        <v>167179.80527355912</v>
      </c>
      <c r="Y35" t="e">
        <f t="shared" si="3"/>
        <v>#N/A</v>
      </c>
      <c r="Z35" t="e">
        <f t="shared" si="4"/>
        <v>#N/A</v>
      </c>
    </row>
    <row r="36" spans="1:26">
      <c r="A36" s="4">
        <v>32</v>
      </c>
      <c r="B36" s="5">
        <f>Inputs!$B$9*(1+Inputs!$B$10/100)^32</f>
        <v>0.7725248267055328</v>
      </c>
      <c r="C36" s="6">
        <f>Inputs!$B$17*B36</f>
        <v>3572.927323513089</v>
      </c>
      <c r="D36" s="6">
        <f>Inputs!$B$19*(1+Inputs!$B$11/100)^32</f>
        <v>10482.871230927934</v>
      </c>
      <c r="E36" s="6">
        <f>IF(A36=0,0,IF(MOD(A36,Inputs!$B$21)=0,Inputs!$B$16*Inputs!$B$23,0))</f>
        <v>0</v>
      </c>
      <c r="F36" s="6">
        <f>C36+D36+E36+IF(A36=0,Inputs!$B$16,0)</f>
        <v>14055.798554441024</v>
      </c>
      <c r="G36" s="6">
        <f t="shared" si="5"/>
        <v>402560.80062343611</v>
      </c>
      <c r="H36" s="6">
        <f t="shared" ref="H36:H67" si="7">F36*I36</f>
        <v>2178.0499522670261</v>
      </c>
      <c r="I36">
        <f>1/(1+Inputs!$B$12/100)^A36</f>
        <v>0.15495739668087777</v>
      </c>
      <c r="J36" s="6">
        <f>Inputs!$E$17*B36</f>
        <v>1400.587510817131</v>
      </c>
      <c r="K36" s="6">
        <f>Inputs!$E$19*(1+Inputs!$B$11/100)^32</f>
        <v>4288.447321743246</v>
      </c>
      <c r="L36" s="6">
        <f>IF(A36=0,0,IF(MOD(A36,Inputs!$E$21)=0,Inputs!$E$16*Inputs!$E$23,0))</f>
        <v>0</v>
      </c>
      <c r="M36" s="6">
        <f>J36+K36+L36+IF(A36=0,Inputs!$E$16,0)</f>
        <v>5689.0348325603773</v>
      </c>
      <c r="N36" s="6">
        <f t="shared" si="6"/>
        <v>227014.23162799634</v>
      </c>
      <c r="O36" s="6">
        <f t="shared" ref="O36:O54" si="8">M36*I36</f>
        <v>881.55802728038941</v>
      </c>
      <c r="P36" s="7" t="e">
        <f>IF(A36&lt;=Inputs!$B$6,A36,NA())</f>
        <v>#N/A</v>
      </c>
      <c r="Q36" s="6" t="e">
        <f>IF(A36&lt;=Inputs!$B$6,G36,NA())</f>
        <v>#N/A</v>
      </c>
      <c r="R36" s="6" t="e">
        <f>IF(A36&lt;=Inputs!$B$6,N36,NA())</f>
        <v>#N/A</v>
      </c>
      <c r="S36" s="1" t="e">
        <f>IF(A36&lt;=Inputs!$B$6,G36,NA())</f>
        <v>#N/A</v>
      </c>
      <c r="T36" s="6" t="e">
        <f>IF(A36&lt;=Inputs!$B$6,N36,NA())</f>
        <v>#N/A</v>
      </c>
      <c r="U36" s="6" t="e">
        <f>IF(A36=Inputs!$B$6,(Inputs!$B$16*Inputs!$B$24/100),NA())</f>
        <v>#N/A</v>
      </c>
      <c r="V36" s="6" t="e">
        <f>IF(A36=Inputs!$B$6,(Inputs!$E$16*Inputs!$E$24/100),NA())</f>
        <v>#N/A</v>
      </c>
      <c r="W36" s="6" t="e">
        <f>W35+((J36+K36+L36+IF(A36=0,Inputs!$E$16,0))*P36)</f>
        <v>#N/A</v>
      </c>
      <c r="X36">
        <f t="shared" ref="X36:X54" si="9">G36-N36</f>
        <v>175546.56899543977</v>
      </c>
      <c r="Y36" t="e">
        <f t="shared" ref="Y36:Y54" si="10">Q36-R36</f>
        <v>#N/A</v>
      </c>
      <c r="Z36" t="e">
        <f t="shared" ref="Z36:Z54" si="11">T36-U36</f>
        <v>#N/A</v>
      </c>
    </row>
    <row r="37" spans="1:26">
      <c r="A37" s="4">
        <v>33</v>
      </c>
      <c r="B37" s="5">
        <f>Inputs!$B$9*(1+Inputs!$B$10/100)^33</f>
        <v>0.79570057150669882</v>
      </c>
      <c r="C37" s="6">
        <f>Inputs!$B$17*B37</f>
        <v>3680.115143218482</v>
      </c>
      <c r="D37" s="6">
        <f>Inputs!$B$19*(1+Inputs!$B$11/100)^33</f>
        <v>11007.014792474332</v>
      </c>
      <c r="E37" s="6">
        <f>IF(A37=0,0,IF(MOD(A37,Inputs!$B$21)=0,Inputs!$B$16*Inputs!$B$23,0))</f>
        <v>0</v>
      </c>
      <c r="F37" s="6">
        <f>C37+D37+E37+IF(A37=0,Inputs!$B$16,0)</f>
        <v>14687.129935692814</v>
      </c>
      <c r="G37" s="6">
        <f t="shared" ref="G37:G68" si="12">G36+F37</f>
        <v>417247.93055912893</v>
      </c>
      <c r="H37" s="6">
        <f t="shared" si="7"/>
        <v>2147.0560561780626</v>
      </c>
      <c r="I37">
        <f>1/(1+Inputs!$B$12/100)^A37</f>
        <v>0.14618622328384695</v>
      </c>
      <c r="J37" s="6">
        <f>Inputs!$E$17*B37</f>
        <v>1442.6051361416451</v>
      </c>
      <c r="K37" s="6">
        <f>Inputs!$E$19*(1+Inputs!$B$11/100)^33</f>
        <v>4502.869687830409</v>
      </c>
      <c r="L37" s="6">
        <f>IF(A37=0,0,IF(MOD(A37,Inputs!$E$21)=0,Inputs!$E$16*Inputs!$E$23,0))</f>
        <v>0</v>
      </c>
      <c r="M37" s="6">
        <f>J37+K37+L37+IF(A37=0,Inputs!$E$16,0)</f>
        <v>5945.4748239720539</v>
      </c>
      <c r="N37" s="6">
        <f t="shared" ref="N37:N68" si="13">N36+M37</f>
        <v>232959.70645196841</v>
      </c>
      <c r="O37" s="6">
        <f t="shared" si="8"/>
        <v>869.14651014566925</v>
      </c>
      <c r="P37" s="7" t="e">
        <f>IF(A37&lt;=Inputs!$B$6,A37,NA())</f>
        <v>#N/A</v>
      </c>
      <c r="Q37" s="6" t="e">
        <f>IF(A37&lt;=Inputs!$B$6,G37,NA())</f>
        <v>#N/A</v>
      </c>
      <c r="R37" s="6" t="e">
        <f>IF(A37&lt;=Inputs!$B$6,N37,NA())</f>
        <v>#N/A</v>
      </c>
      <c r="S37" s="1" t="e">
        <f>IF(A37&lt;=Inputs!$B$6,G37,NA())</f>
        <v>#N/A</v>
      </c>
      <c r="T37" s="6" t="e">
        <f>IF(A37&lt;=Inputs!$B$6,N37,NA())</f>
        <v>#N/A</v>
      </c>
      <c r="U37" s="6" t="e">
        <f>IF(A37=Inputs!$B$6,(Inputs!$B$16*Inputs!$B$24/100),NA())</f>
        <v>#N/A</v>
      </c>
      <c r="V37" s="6" t="e">
        <f>IF(A37=Inputs!$B$6,(Inputs!$E$16*Inputs!$E$24/100),NA())</f>
        <v>#N/A</v>
      </c>
      <c r="W37" s="6" t="e">
        <f>W36+((J37+K37+L37+IF(A37=0,Inputs!$E$16,0))*P37)</f>
        <v>#N/A</v>
      </c>
      <c r="X37">
        <f t="shared" si="9"/>
        <v>184288.22410716052</v>
      </c>
      <c r="Y37" t="e">
        <f t="shared" si="10"/>
        <v>#N/A</v>
      </c>
      <c r="Z37" t="e">
        <f t="shared" si="11"/>
        <v>#N/A</v>
      </c>
    </row>
    <row r="38" spans="1:26">
      <c r="A38" s="4">
        <v>34</v>
      </c>
      <c r="B38" s="5">
        <f>Inputs!$B$9*(1+Inputs!$B$10/100)^34</f>
        <v>0.81957158865189961</v>
      </c>
      <c r="C38" s="6">
        <f>Inputs!$B$17*B38</f>
        <v>3790.5185975150357</v>
      </c>
      <c r="D38" s="6">
        <f>Inputs!$B$19*(1+Inputs!$B$11/100)^34</f>
        <v>11557.365532098049</v>
      </c>
      <c r="E38" s="6">
        <f>IF(A38=0,0,IF(MOD(A38,Inputs!$B$21)=0,Inputs!$B$16*Inputs!$B$23,0))</f>
        <v>0</v>
      </c>
      <c r="F38" s="6">
        <f>C38+D38+E38+IF(A38=0,Inputs!$B$16,0)</f>
        <v>15347.884129613085</v>
      </c>
      <c r="G38" s="6">
        <f t="shared" si="12"/>
        <v>432595.81468874204</v>
      </c>
      <c r="H38" s="6">
        <f t="shared" si="7"/>
        <v>2116.6502040624805</v>
      </c>
      <c r="I38">
        <f>1/(1+Inputs!$B$12/100)^A38</f>
        <v>0.1379115313998556</v>
      </c>
      <c r="J38" s="6">
        <f>Inputs!$E$17*B38</f>
        <v>1485.8832902258939</v>
      </c>
      <c r="K38" s="6">
        <f>Inputs!$E$19*(1+Inputs!$B$11/100)^34</f>
        <v>4728.0131722219285</v>
      </c>
      <c r="L38" s="6">
        <f>IF(A38=0,0,IF(MOD(A38,Inputs!$E$21)=0,Inputs!$E$16*Inputs!$E$23,0))</f>
        <v>0</v>
      </c>
      <c r="M38" s="6">
        <f>J38+K38+L38+IF(A38=0,Inputs!$E$16,0)</f>
        <v>6213.8964624478222</v>
      </c>
      <c r="N38" s="6">
        <f t="shared" si="13"/>
        <v>239173.60291441623</v>
      </c>
      <c r="O38" s="6">
        <f t="shared" si="8"/>
        <v>856.96797709632449</v>
      </c>
      <c r="P38" s="7" t="e">
        <f>IF(A38&lt;=Inputs!$B$6,A38,NA())</f>
        <v>#N/A</v>
      </c>
      <c r="Q38" s="6" t="e">
        <f>IF(A38&lt;=Inputs!$B$6,G38,NA())</f>
        <v>#N/A</v>
      </c>
      <c r="R38" s="6" t="e">
        <f>IF(A38&lt;=Inputs!$B$6,N38,NA())</f>
        <v>#N/A</v>
      </c>
      <c r="S38" s="1" t="e">
        <f>IF(A38&lt;=Inputs!$B$6,G38,NA())</f>
        <v>#N/A</v>
      </c>
      <c r="T38" s="6" t="e">
        <f>IF(A38&lt;=Inputs!$B$6,N38,NA())</f>
        <v>#N/A</v>
      </c>
      <c r="U38" s="6" t="e">
        <f>IF(A38=Inputs!$B$6,(Inputs!$B$16*Inputs!$B$24/100),NA())</f>
        <v>#N/A</v>
      </c>
      <c r="V38" s="6" t="e">
        <f>IF(A38=Inputs!$B$6,(Inputs!$E$16*Inputs!$E$24/100),NA())</f>
        <v>#N/A</v>
      </c>
      <c r="W38" s="6" t="e">
        <f>W37+((J38+K38+L38+IF(A38=0,Inputs!$E$16,0))*P38)</f>
        <v>#N/A</v>
      </c>
      <c r="X38">
        <f t="shared" si="9"/>
        <v>193422.21177432581</v>
      </c>
      <c r="Y38" t="e">
        <f t="shared" si="10"/>
        <v>#N/A</v>
      </c>
      <c r="Z38" t="e">
        <f t="shared" si="11"/>
        <v>#N/A</v>
      </c>
    </row>
    <row r="39" spans="1:26">
      <c r="A39" s="4">
        <v>35</v>
      </c>
      <c r="B39" s="5">
        <f>Inputs!$B$9*(1+Inputs!$B$10/100)^35</f>
        <v>0.84415873631145677</v>
      </c>
      <c r="C39" s="6">
        <f>Inputs!$B$17*B39</f>
        <v>3904.2341554404875</v>
      </c>
      <c r="D39" s="6">
        <f>Inputs!$B$19*(1+Inputs!$B$11/100)^35</f>
        <v>12135.233808702953</v>
      </c>
      <c r="E39" s="6">
        <f>IF(A39=0,0,IF(MOD(A39,Inputs!$B$21)=0,Inputs!$B$16*Inputs!$B$23,0))</f>
        <v>0</v>
      </c>
      <c r="F39" s="6">
        <f>C39+D39+E39+IF(A39=0,Inputs!$B$16,0)</f>
        <v>16039.467964143441</v>
      </c>
      <c r="G39" s="6">
        <f t="shared" si="12"/>
        <v>448635.28265288548</v>
      </c>
      <c r="H39" s="6">
        <f t="shared" si="7"/>
        <v>2086.8184809188169</v>
      </c>
      <c r="I39">
        <f>1/(1+Inputs!$B$12/100)^A39</f>
        <v>0.13010521830175056</v>
      </c>
      <c r="J39" s="6">
        <f>Inputs!$E$17*B39</f>
        <v>1530.459788932671</v>
      </c>
      <c r="K39" s="6">
        <f>Inputs!$E$19*(1+Inputs!$B$11/100)^35</f>
        <v>4964.4138308330257</v>
      </c>
      <c r="L39" s="6">
        <f>IF(A39=0,0,IF(MOD(A39,Inputs!$E$21)=0,Inputs!$E$16*Inputs!$E$23,0))</f>
        <v>0</v>
      </c>
      <c r="M39" s="6">
        <f>J39+K39+L39+IF(A39=0,Inputs!$E$16,0)</f>
        <v>6494.8736197656963</v>
      </c>
      <c r="N39" s="6">
        <f t="shared" si="13"/>
        <v>245668.47653418191</v>
      </c>
      <c r="O39" s="6">
        <f t="shared" si="8"/>
        <v>845.01695014189681</v>
      </c>
      <c r="P39" s="7" t="e">
        <f>IF(A39&lt;=Inputs!$B$6,A39,NA())</f>
        <v>#N/A</v>
      </c>
      <c r="Q39" s="6" t="e">
        <f>IF(A39&lt;=Inputs!$B$6,G39,NA())</f>
        <v>#N/A</v>
      </c>
      <c r="R39" s="6" t="e">
        <f>IF(A39&lt;=Inputs!$B$6,N39,NA())</f>
        <v>#N/A</v>
      </c>
      <c r="S39" s="1" t="e">
        <f>IF(A39&lt;=Inputs!$B$6,G39,NA())</f>
        <v>#N/A</v>
      </c>
      <c r="T39" s="6" t="e">
        <f>IF(A39&lt;=Inputs!$B$6,N39,NA())</f>
        <v>#N/A</v>
      </c>
      <c r="U39" s="6" t="e">
        <f>IF(A39=Inputs!$B$6,(Inputs!$B$16*Inputs!$B$24/100),NA())</f>
        <v>#N/A</v>
      </c>
      <c r="V39" s="6" t="e">
        <f>IF(A39=Inputs!$B$6,(Inputs!$E$16*Inputs!$E$24/100),NA())</f>
        <v>#N/A</v>
      </c>
      <c r="W39" s="6" t="e">
        <f>W38+((J39+K39+L39+IF(A39=0,Inputs!$E$16,0))*P39)</f>
        <v>#N/A</v>
      </c>
      <c r="X39">
        <f t="shared" si="9"/>
        <v>202966.80611870356</v>
      </c>
      <c r="Y39" t="e">
        <f t="shared" si="10"/>
        <v>#N/A</v>
      </c>
      <c r="Z39" t="e">
        <f t="shared" si="11"/>
        <v>#N/A</v>
      </c>
    </row>
    <row r="40" spans="1:26">
      <c r="A40" s="4">
        <v>36</v>
      </c>
      <c r="B40" s="5">
        <f>Inputs!$B$9*(1+Inputs!$B$10/100)^36</f>
        <v>0.86948349840080041</v>
      </c>
      <c r="C40" s="6">
        <f>Inputs!$B$17*B40</f>
        <v>4021.3611801037018</v>
      </c>
      <c r="D40" s="6">
        <f>Inputs!$B$19*(1+Inputs!$B$11/100)^36</f>
        <v>12741.995499138098</v>
      </c>
      <c r="E40" s="6">
        <f>IF(A40=0,0,IF(MOD(A40,Inputs!$B$21)=0,Inputs!$B$16*Inputs!$B$23,0))</f>
        <v>0</v>
      </c>
      <c r="F40" s="6">
        <f>C40+D40+E40+IF(A40=0,Inputs!$B$16,0)</f>
        <v>16763.356679241799</v>
      </c>
      <c r="G40" s="6">
        <f t="shared" si="12"/>
        <v>465398.63933212729</v>
      </c>
      <c r="H40" s="6">
        <f t="shared" si="7"/>
        <v>2057.5473398328891</v>
      </c>
      <c r="I40">
        <f>1/(1+Inputs!$B$12/100)^A40</f>
        <v>0.12274077198278353</v>
      </c>
      <c r="J40" s="6">
        <f>Inputs!$E$17*B40</f>
        <v>1576.3735826006512</v>
      </c>
      <c r="K40" s="6">
        <f>Inputs!$E$19*(1+Inputs!$B$11/100)^36</f>
        <v>5212.6345223746766</v>
      </c>
      <c r="L40" s="6">
        <f>IF(A40=0,0,IF(MOD(A40,Inputs!$E$21)=0,Inputs!$E$16*Inputs!$E$23,0))</f>
        <v>0</v>
      </c>
      <c r="M40" s="6">
        <f>J40+K40+L40+IF(A40=0,Inputs!$E$16,0)</f>
        <v>6789.008104975328</v>
      </c>
      <c r="N40" s="6">
        <f t="shared" si="13"/>
        <v>252457.48463915725</v>
      </c>
      <c r="O40" s="6">
        <f t="shared" si="8"/>
        <v>833.28809580204609</v>
      </c>
      <c r="P40" s="7" t="e">
        <f>IF(A40&lt;=Inputs!$B$6,A40,NA())</f>
        <v>#N/A</v>
      </c>
      <c r="Q40" s="6" t="e">
        <f>IF(A40&lt;=Inputs!$B$6,G40,NA())</f>
        <v>#N/A</v>
      </c>
      <c r="R40" s="6" t="e">
        <f>IF(A40&lt;=Inputs!$B$6,N40,NA())</f>
        <v>#N/A</v>
      </c>
      <c r="S40" s="1" t="e">
        <f>IF(A40&lt;=Inputs!$B$6,G40,NA())</f>
        <v>#N/A</v>
      </c>
      <c r="T40" s="6" t="e">
        <f>IF(A40&lt;=Inputs!$B$6,N40,NA())</f>
        <v>#N/A</v>
      </c>
      <c r="U40" s="6" t="e">
        <f>IF(A40=Inputs!$B$6,(Inputs!$B$16*Inputs!$B$24/100),NA())</f>
        <v>#N/A</v>
      </c>
      <c r="V40" s="6" t="e">
        <f>IF(A40=Inputs!$B$6,(Inputs!$E$16*Inputs!$E$24/100),NA())</f>
        <v>#N/A</v>
      </c>
      <c r="W40" s="6" t="e">
        <f>W39+((J40+K40+L40+IF(A40=0,Inputs!$E$16,0))*P40)</f>
        <v>#N/A</v>
      </c>
      <c r="X40">
        <f t="shared" si="9"/>
        <v>212941.15469297004</v>
      </c>
      <c r="Y40" t="e">
        <f t="shared" si="10"/>
        <v>#N/A</v>
      </c>
      <c r="Z40" t="e">
        <f t="shared" si="11"/>
        <v>#N/A</v>
      </c>
    </row>
    <row r="41" spans="1:26">
      <c r="A41" s="4">
        <v>37</v>
      </c>
      <c r="B41" s="5">
        <f>Inputs!$B$9*(1+Inputs!$B$10/100)^37</f>
        <v>0.89556800335282427</v>
      </c>
      <c r="C41" s="6">
        <f>Inputs!$B$17*B41</f>
        <v>4142.0020155068123</v>
      </c>
      <c r="D41" s="6">
        <f>Inputs!$B$19*(1+Inputs!$B$11/100)^37</f>
        <v>13379.095274095005</v>
      </c>
      <c r="E41" s="6">
        <f>IF(A41=0,0,IF(MOD(A41,Inputs!$B$21)=0,Inputs!$B$16*Inputs!$B$23,0))</f>
        <v>0</v>
      </c>
      <c r="F41" s="6">
        <f>C41+D41+E41+IF(A41=0,Inputs!$B$16,0)</f>
        <v>17521.097289601817</v>
      </c>
      <c r="G41" s="6">
        <f t="shared" si="12"/>
        <v>482919.7366217291</v>
      </c>
      <c r="H41" s="6">
        <f t="shared" si="7"/>
        <v>2028.823591803003</v>
      </c>
      <c r="I41">
        <f>1/(1+Inputs!$B$12/100)^A41</f>
        <v>0.11579318111583352</v>
      </c>
      <c r="J41" s="6">
        <f>Inputs!$E$17*B41</f>
        <v>1623.6647900786704</v>
      </c>
      <c r="K41" s="6">
        <f>Inputs!$E$19*(1+Inputs!$B$11/100)^37</f>
        <v>5473.2662484934108</v>
      </c>
      <c r="L41" s="6">
        <f>IF(A41=0,0,IF(MOD(A41,Inputs!$E$21)=0,Inputs!$E$16*Inputs!$E$23,0))</f>
        <v>0</v>
      </c>
      <c r="M41" s="6">
        <f>J41+K41+L41+IF(A41=0,Inputs!$E$16,0)</f>
        <v>7096.931038572081</v>
      </c>
      <c r="N41" s="6">
        <f t="shared" si="13"/>
        <v>259554.41567772932</v>
      </c>
      <c r="O41" s="6">
        <f t="shared" si="8"/>
        <v>821.77622111595747</v>
      </c>
      <c r="P41" s="7" t="e">
        <f>IF(A41&lt;=Inputs!$B$6,A41,NA())</f>
        <v>#N/A</v>
      </c>
      <c r="Q41" s="6" t="e">
        <f>IF(A41&lt;=Inputs!$B$6,G41,NA())</f>
        <v>#N/A</v>
      </c>
      <c r="R41" s="6" t="e">
        <f>IF(A41&lt;=Inputs!$B$6,N41,NA())</f>
        <v>#N/A</v>
      </c>
      <c r="S41" s="1" t="e">
        <f>IF(A41&lt;=Inputs!$B$6,G41,NA())</f>
        <v>#N/A</v>
      </c>
      <c r="T41" s="6" t="e">
        <f>IF(A41&lt;=Inputs!$B$6,N41,NA())</f>
        <v>#N/A</v>
      </c>
      <c r="U41" s="6" t="e">
        <f>IF(A41=Inputs!$B$6,(Inputs!$B$16*Inputs!$B$24/100),NA())</f>
        <v>#N/A</v>
      </c>
      <c r="V41" s="6" t="e">
        <f>IF(A41=Inputs!$B$6,(Inputs!$E$16*Inputs!$E$24/100),NA())</f>
        <v>#N/A</v>
      </c>
      <c r="W41" s="6" t="e">
        <f>W40+((J41+K41+L41+IF(A41=0,Inputs!$E$16,0))*P41)</f>
        <v>#N/A</v>
      </c>
      <c r="X41">
        <f t="shared" si="9"/>
        <v>223365.32094399977</v>
      </c>
      <c r="Y41" t="e">
        <f t="shared" si="10"/>
        <v>#N/A</v>
      </c>
      <c r="Z41" t="e">
        <f t="shared" si="11"/>
        <v>#N/A</v>
      </c>
    </row>
    <row r="42" spans="1:26">
      <c r="A42" s="4">
        <v>38</v>
      </c>
      <c r="B42" s="5">
        <f>Inputs!$B$9*(1+Inputs!$B$10/100)^38</f>
        <v>0.92243504345340899</v>
      </c>
      <c r="C42" s="6">
        <f>Inputs!$B$17*B42</f>
        <v>4266.2620759720166</v>
      </c>
      <c r="D42" s="6">
        <f>Inputs!$B$19*(1+Inputs!$B$11/100)^38</f>
        <v>14048.050037799752</v>
      </c>
      <c r="E42" s="6">
        <f>IF(A42=0,0,IF(MOD(A42,Inputs!$B$21)=0,Inputs!$B$16*Inputs!$B$23,0))</f>
        <v>0</v>
      </c>
      <c r="F42" s="6">
        <f>C42+D42+E42+IF(A42=0,Inputs!$B$16,0)</f>
        <v>18314.312113771768</v>
      </c>
      <c r="G42" s="6">
        <f t="shared" si="12"/>
        <v>501234.0487355009</v>
      </c>
      <c r="H42" s="6">
        <f t="shared" si="7"/>
        <v>2000.6343958508282</v>
      </c>
      <c r="I42">
        <f>1/(1+Inputs!$B$12/100)^A42</f>
        <v>0.10923885010927689</v>
      </c>
      <c r="J42" s="6">
        <f>Inputs!$E$17*B42</f>
        <v>1672.3747337810305</v>
      </c>
      <c r="K42" s="6">
        <f>Inputs!$E$19*(1+Inputs!$B$11/100)^38</f>
        <v>5746.9295609180808</v>
      </c>
      <c r="L42" s="6">
        <f>IF(A42=0,0,IF(MOD(A42,Inputs!$E$21)=0,Inputs!$E$16*Inputs!$E$23,0))</f>
        <v>0</v>
      </c>
      <c r="M42" s="6">
        <f>J42+K42+L42+IF(A42=0,Inputs!$E$16,0)</f>
        <v>7419.3042946991118</v>
      </c>
      <c r="N42" s="6">
        <f t="shared" si="13"/>
        <v>266973.71997242846</v>
      </c>
      <c r="O42" s="6">
        <f t="shared" si="8"/>
        <v>810.47626976375057</v>
      </c>
      <c r="P42" s="7" t="e">
        <f>IF(A42&lt;=Inputs!$B$6,A42,NA())</f>
        <v>#N/A</v>
      </c>
      <c r="Q42" s="6" t="e">
        <f>IF(A42&lt;=Inputs!$B$6,G42,NA())</f>
        <v>#N/A</v>
      </c>
      <c r="R42" s="6" t="e">
        <f>IF(A42&lt;=Inputs!$B$6,N42,NA())</f>
        <v>#N/A</v>
      </c>
      <c r="S42" s="1" t="e">
        <f>IF(A42&lt;=Inputs!$B$6,G42,NA())</f>
        <v>#N/A</v>
      </c>
      <c r="T42" s="6" t="e">
        <f>IF(A42&lt;=Inputs!$B$6,N42,NA())</f>
        <v>#N/A</v>
      </c>
      <c r="U42" s="6" t="e">
        <f>IF(A42=Inputs!$B$6,(Inputs!$B$16*Inputs!$B$24/100),NA())</f>
        <v>#N/A</v>
      </c>
      <c r="V42" s="6" t="e">
        <f>IF(A42=Inputs!$B$6,(Inputs!$E$16*Inputs!$E$24/100),NA())</f>
        <v>#N/A</v>
      </c>
      <c r="W42" s="6" t="e">
        <f>W41+((J42+K42+L42+IF(A42=0,Inputs!$E$16,0))*P42)</f>
        <v>#N/A</v>
      </c>
      <c r="X42">
        <f t="shared" si="9"/>
        <v>234260.32876307244</v>
      </c>
      <c r="Y42" t="e">
        <f t="shared" si="10"/>
        <v>#N/A</v>
      </c>
      <c r="Z42" t="e">
        <f t="shared" si="11"/>
        <v>#N/A</v>
      </c>
    </row>
    <row r="43" spans="1:26">
      <c r="A43" s="4">
        <v>39</v>
      </c>
      <c r="B43" s="5">
        <f>Inputs!$B$9*(1+Inputs!$B$10/100)^39</f>
        <v>0.95010809475701141</v>
      </c>
      <c r="C43" s="6">
        <f>Inputs!$B$17*B43</f>
        <v>4394.2499382511778</v>
      </c>
      <c r="D43" s="6">
        <f>Inputs!$B$19*(1+Inputs!$B$11/100)^39</f>
        <v>14750.452539689742</v>
      </c>
      <c r="E43" s="6">
        <f>IF(A43=0,0,IF(MOD(A43,Inputs!$B$21)=0,Inputs!$B$16*Inputs!$B$23,0))</f>
        <v>0</v>
      </c>
      <c r="F43" s="6">
        <f>C43+D43+E43+IF(A43=0,Inputs!$B$16,0)</f>
        <v>19144.702477940918</v>
      </c>
      <c r="G43" s="6">
        <f t="shared" si="12"/>
        <v>520378.75121344184</v>
      </c>
      <c r="H43" s="6">
        <f t="shared" si="7"/>
        <v>1972.9672494098959</v>
      </c>
      <c r="I43">
        <f>1/(1+Inputs!$B$12/100)^A43</f>
        <v>0.10305551897101592</v>
      </c>
      <c r="J43" s="6">
        <f>Inputs!$E$17*B43</f>
        <v>1722.5459757944616</v>
      </c>
      <c r="K43" s="6">
        <f>Inputs!$E$19*(1+Inputs!$B$11/100)^39</f>
        <v>6034.2760389639861</v>
      </c>
      <c r="L43" s="6">
        <f>IF(A43=0,0,IF(MOD(A43,Inputs!$E$21)=0,Inputs!$E$16*Inputs!$E$23,0))</f>
        <v>0</v>
      </c>
      <c r="M43" s="6">
        <f>J43+K43+L43+IF(A43=0,Inputs!$E$16,0)</f>
        <v>7756.8220147584479</v>
      </c>
      <c r="N43" s="6">
        <f t="shared" si="13"/>
        <v>274730.54198718688</v>
      </c>
      <c r="O43" s="6">
        <f t="shared" si="8"/>
        <v>799.38331829673314</v>
      </c>
      <c r="P43" s="7" t="e">
        <f>IF(A43&lt;=Inputs!$B$6,A43,NA())</f>
        <v>#N/A</v>
      </c>
      <c r="Q43" s="6" t="e">
        <f>IF(A43&lt;=Inputs!$B$6,G43,NA())</f>
        <v>#N/A</v>
      </c>
      <c r="R43" s="6" t="e">
        <f>IF(A43&lt;=Inputs!$B$6,N43,NA())</f>
        <v>#N/A</v>
      </c>
      <c r="S43" s="1" t="e">
        <f>IF(A43&lt;=Inputs!$B$6,G43,NA())</f>
        <v>#N/A</v>
      </c>
      <c r="T43" s="6" t="e">
        <f>IF(A43&lt;=Inputs!$B$6,N43,NA())</f>
        <v>#N/A</v>
      </c>
      <c r="U43" s="6" t="e">
        <f>IF(A43=Inputs!$B$6,(Inputs!$B$16*Inputs!$B$24/100),NA())</f>
        <v>#N/A</v>
      </c>
      <c r="V43" s="6" t="e">
        <f>IF(A43=Inputs!$B$6,(Inputs!$E$16*Inputs!$E$24/100),NA())</f>
        <v>#N/A</v>
      </c>
      <c r="W43" s="6" t="e">
        <f>W42+((J43+K43+L43+IF(A43=0,Inputs!$E$16,0))*P43)</f>
        <v>#N/A</v>
      </c>
      <c r="X43">
        <f t="shared" si="9"/>
        <v>245648.20922625496</v>
      </c>
      <c r="Y43" t="e">
        <f t="shared" si="10"/>
        <v>#N/A</v>
      </c>
      <c r="Z43" t="e">
        <f t="shared" si="11"/>
        <v>#N/A</v>
      </c>
    </row>
    <row r="44" spans="1:26">
      <c r="A44" s="4">
        <v>40</v>
      </c>
      <c r="B44" s="5">
        <f>Inputs!$B$9*(1+Inputs!$B$10/100)^40</f>
        <v>0.97861133759972152</v>
      </c>
      <c r="C44" s="6">
        <f>Inputs!$B$17*B44</f>
        <v>4526.0774363987121</v>
      </c>
      <c r="D44" s="6">
        <f>Inputs!$B$19*(1+Inputs!$B$11/100)^40</f>
        <v>15487.975166674229</v>
      </c>
      <c r="E44" s="6">
        <f>IF(A44=0,0,IF(MOD(A44,Inputs!$B$21)=0,Inputs!$B$16*Inputs!$B$23,0))</f>
        <v>0</v>
      </c>
      <c r="F44" s="6">
        <f>C44+D44+E44+IF(A44=0,Inputs!$B$16,0)</f>
        <v>20014.052603072942</v>
      </c>
      <c r="G44" s="6">
        <f t="shared" si="12"/>
        <v>540392.80381651479</v>
      </c>
      <c r="H44" s="6">
        <f t="shared" si="7"/>
        <v>1945.8099789838625</v>
      </c>
      <c r="I44">
        <f>1/(1+Inputs!$B$12/100)^A44</f>
        <v>9.7222187708505589E-2</v>
      </c>
      <c r="J44" s="6">
        <f>Inputs!$E$17*B44</f>
        <v>1774.2223550682952</v>
      </c>
      <c r="K44" s="6">
        <f>Inputs!$E$19*(1+Inputs!$B$11/100)^40</f>
        <v>6335.9898409121843</v>
      </c>
      <c r="L44" s="6">
        <f>IF(A44=0,0,IF(MOD(A44,Inputs!$E$21)=0,Inputs!$E$16*Inputs!$E$23,0))</f>
        <v>0</v>
      </c>
      <c r="M44" s="6">
        <f>J44+K44+L44+IF(A44=0,Inputs!$E$16,0)</f>
        <v>8110.212195980479</v>
      </c>
      <c r="N44" s="6">
        <f t="shared" si="13"/>
        <v>282840.75418316736</v>
      </c>
      <c r="O44" s="6">
        <f t="shared" si="8"/>
        <v>788.49257247342541</v>
      </c>
      <c r="P44" s="7" t="e">
        <f>IF(A44&lt;=Inputs!$B$6,A44,NA())</f>
        <v>#N/A</v>
      </c>
      <c r="Q44" s="6" t="e">
        <f>IF(A44&lt;=Inputs!$B$6,G44,NA())</f>
        <v>#N/A</v>
      </c>
      <c r="R44" s="6" t="e">
        <f>IF(A44&lt;=Inputs!$B$6,N44,NA())</f>
        <v>#N/A</v>
      </c>
      <c r="S44" s="1" t="e">
        <f>IF(A44&lt;=Inputs!$B$6,G44,NA())</f>
        <v>#N/A</v>
      </c>
      <c r="T44" s="6" t="e">
        <f>IF(A44&lt;=Inputs!$B$6,N44,NA())</f>
        <v>#N/A</v>
      </c>
      <c r="U44" s="6" t="e">
        <f>IF(A44=Inputs!$B$6,(Inputs!$B$16*Inputs!$B$24/100),NA())</f>
        <v>#N/A</v>
      </c>
      <c r="V44" s="6" t="e">
        <f>IF(A44=Inputs!$B$6,(Inputs!$E$16*Inputs!$E$24/100),NA())</f>
        <v>#N/A</v>
      </c>
      <c r="W44" s="6" t="e">
        <f>W43+((J44+K44+L44+IF(A44=0,Inputs!$E$16,0))*P44)</f>
        <v>#N/A</v>
      </c>
      <c r="X44">
        <f t="shared" si="9"/>
        <v>257552.04963334743</v>
      </c>
      <c r="Y44" t="e">
        <f t="shared" si="10"/>
        <v>#N/A</v>
      </c>
      <c r="Z44" t="e">
        <f t="shared" si="11"/>
        <v>#N/A</v>
      </c>
    </row>
    <row r="45" spans="1:26">
      <c r="A45" s="4">
        <v>41</v>
      </c>
      <c r="B45" s="5">
        <f>Inputs!$B$9*(1+Inputs!$B$10/100)^41</f>
        <v>1.0079696777277132</v>
      </c>
      <c r="C45" s="6">
        <f>Inputs!$B$17*B45</f>
        <v>4661.8597594906732</v>
      </c>
      <c r="D45" s="6">
        <f>Inputs!$B$19*(1+Inputs!$B$11/100)^41</f>
        <v>16262.373925007942</v>
      </c>
      <c r="E45" s="6">
        <f>IF(A45=0,0,IF(MOD(A45,Inputs!$B$21)=0,Inputs!$B$16*Inputs!$B$23,0))</f>
        <v>0</v>
      </c>
      <c r="F45" s="6">
        <f>C45+D45+E45+IF(A45=0,Inputs!$B$16,0)</f>
        <v>20924.233684498613</v>
      </c>
      <c r="G45" s="6">
        <f t="shared" si="12"/>
        <v>561317.03750101337</v>
      </c>
      <c r="H45" s="6">
        <f t="shared" si="7"/>
        <v>1919.1507310669433</v>
      </c>
      <c r="I45">
        <f>1/(1+Inputs!$B$12/100)^A45</f>
        <v>9.171904500802415E-2</v>
      </c>
      <c r="J45" s="6">
        <f>Inputs!$E$17*B45</f>
        <v>1827.449025720344</v>
      </c>
      <c r="K45" s="6">
        <f>Inputs!$E$19*(1+Inputs!$B$11/100)^41</f>
        <v>6652.7893329577937</v>
      </c>
      <c r="L45" s="6">
        <f>IF(A45=0,0,IF(MOD(A45,Inputs!$E$21)=0,Inputs!$E$16*Inputs!$E$23,0))</f>
        <v>0</v>
      </c>
      <c r="M45" s="6">
        <f>J45+K45+L45+IF(A45=0,Inputs!$E$16,0)</f>
        <v>8480.238358678138</v>
      </c>
      <c r="N45" s="6">
        <f t="shared" si="13"/>
        <v>291320.99254184548</v>
      </c>
      <c r="O45" s="6">
        <f t="shared" si="8"/>
        <v>777.79936369837299</v>
      </c>
      <c r="P45" s="7" t="e">
        <f>IF(A45&lt;=Inputs!$B$6,A45,NA())</f>
        <v>#N/A</v>
      </c>
      <c r="Q45" s="6" t="e">
        <f>IF(A45&lt;=Inputs!$B$6,G45,NA())</f>
        <v>#N/A</v>
      </c>
      <c r="R45" s="6" t="e">
        <f>IF(A45&lt;=Inputs!$B$6,N45,NA())</f>
        <v>#N/A</v>
      </c>
      <c r="S45" s="1" t="e">
        <f>IF(A45&lt;=Inputs!$B$6,G45,NA())</f>
        <v>#N/A</v>
      </c>
      <c r="T45" s="6" t="e">
        <f>IF(A45&lt;=Inputs!$B$6,N45,NA())</f>
        <v>#N/A</v>
      </c>
      <c r="U45" s="6" t="e">
        <f>IF(A45=Inputs!$B$6,(Inputs!$B$16*Inputs!$B$24/100),NA())</f>
        <v>#N/A</v>
      </c>
      <c r="V45" s="6" t="e">
        <f>IF(A45=Inputs!$B$6,(Inputs!$E$16*Inputs!$E$24/100),NA())</f>
        <v>#N/A</v>
      </c>
      <c r="W45" s="6" t="e">
        <f>W44+((J45+K45+L45+IF(A45=0,Inputs!$E$16,0))*P45)</f>
        <v>#N/A</v>
      </c>
      <c r="X45">
        <f t="shared" si="9"/>
        <v>269996.04495916789</v>
      </c>
      <c r="Y45" t="e">
        <f t="shared" si="10"/>
        <v>#N/A</v>
      </c>
      <c r="Z45" t="e">
        <f t="shared" si="11"/>
        <v>#N/A</v>
      </c>
    </row>
    <row r="46" spans="1:26">
      <c r="A46" s="4">
        <v>42</v>
      </c>
      <c r="B46" s="5">
        <f>Inputs!$B$9*(1+Inputs!$B$10/100)^42</f>
        <v>1.0382087680595447</v>
      </c>
      <c r="C46" s="6">
        <f>Inputs!$B$17*B46</f>
        <v>4801.7155522753937</v>
      </c>
      <c r="D46" s="6">
        <f>Inputs!$B$19*(1+Inputs!$B$11/100)^42</f>
        <v>17075.492621258338</v>
      </c>
      <c r="E46" s="6">
        <f>IF(A46=0,0,IF(MOD(A46,Inputs!$B$21)=0,Inputs!$B$16*Inputs!$B$23,0))</f>
        <v>0</v>
      </c>
      <c r="F46" s="6">
        <f>C46+D46+E46+IF(A46=0,Inputs!$B$16,0)</f>
        <v>21877.208173533731</v>
      </c>
      <c r="G46" s="6">
        <f t="shared" si="12"/>
        <v>583194.24567454716</v>
      </c>
      <c r="H46" s="6">
        <f t="shared" si="7"/>
        <v>1892.9779633191074</v>
      </c>
      <c r="I46">
        <f>1/(1+Inputs!$B$12/100)^A46</f>
        <v>8.6527400950966171E-2</v>
      </c>
      <c r="J46" s="6">
        <f>Inputs!$E$17*B46</f>
        <v>1882.2724964919544</v>
      </c>
      <c r="K46" s="6">
        <f>Inputs!$E$19*(1+Inputs!$B$11/100)^42</f>
        <v>6985.4287996056837</v>
      </c>
      <c r="L46" s="6">
        <f>IF(A46=0,0,IF(MOD(A46,Inputs!$E$21)=0,Inputs!$E$16*Inputs!$E$23,0))</f>
        <v>0</v>
      </c>
      <c r="M46" s="6">
        <f>J46+K46+L46+IF(A46=0,Inputs!$E$16,0)</f>
        <v>8867.701296097639</v>
      </c>
      <c r="N46" s="6">
        <f t="shared" si="13"/>
        <v>300188.69383794314</v>
      </c>
      <c r="O46" s="6">
        <f t="shared" si="8"/>
        <v>767.29914556084282</v>
      </c>
      <c r="P46" s="7" t="e">
        <f>IF(A46&lt;=Inputs!$B$6,A46,NA())</f>
        <v>#N/A</v>
      </c>
      <c r="Q46" s="6" t="e">
        <f>IF(A46&lt;=Inputs!$B$6,G46,NA())</f>
        <v>#N/A</v>
      </c>
      <c r="R46" s="6" t="e">
        <f>IF(A46&lt;=Inputs!$B$6,N46,NA())</f>
        <v>#N/A</v>
      </c>
      <c r="S46" s="1" t="e">
        <f>IF(A46&lt;=Inputs!$B$6,G46,NA())</f>
        <v>#N/A</v>
      </c>
      <c r="T46" s="6" t="e">
        <f>IF(A46&lt;=Inputs!$B$6,N46,NA())</f>
        <v>#N/A</v>
      </c>
      <c r="U46" s="6" t="e">
        <f>IF(A46=Inputs!$B$6,(Inputs!$B$16*Inputs!$B$24/100),NA())</f>
        <v>#N/A</v>
      </c>
      <c r="V46" s="6" t="e">
        <f>IF(A46=Inputs!$B$6,(Inputs!$E$16*Inputs!$E$24/100),NA())</f>
        <v>#N/A</v>
      </c>
      <c r="W46" s="6" t="e">
        <f>W45+((J46+K46+L46+IF(A46=0,Inputs!$E$16,0))*P46)</f>
        <v>#N/A</v>
      </c>
      <c r="X46">
        <f t="shared" si="9"/>
        <v>283005.55183660402</v>
      </c>
      <c r="Y46" t="e">
        <f t="shared" si="10"/>
        <v>#N/A</v>
      </c>
      <c r="Z46" t="e">
        <f t="shared" si="11"/>
        <v>#N/A</v>
      </c>
    </row>
    <row r="47" spans="1:26">
      <c r="A47" s="4">
        <v>43</v>
      </c>
      <c r="B47" s="5">
        <f>Inputs!$B$9*(1+Inputs!$B$10/100)^43</f>
        <v>1.0693550311013311</v>
      </c>
      <c r="C47" s="6">
        <f>Inputs!$B$17*B47</f>
        <v>4945.7670188436568</v>
      </c>
      <c r="D47" s="6">
        <f>Inputs!$B$19*(1+Inputs!$B$11/100)^43</f>
        <v>17929.267252321257</v>
      </c>
      <c r="E47" s="6">
        <f>IF(A47=0,0,IF(MOD(A47,Inputs!$B$21)=0,Inputs!$B$16*Inputs!$B$23,0))</f>
        <v>0</v>
      </c>
      <c r="F47" s="6">
        <f>C47+D47+E47+IF(A47=0,Inputs!$B$16,0)</f>
        <v>22875.034271164914</v>
      </c>
      <c r="G47" s="6">
        <f t="shared" si="12"/>
        <v>606069.27994571207</v>
      </c>
      <c r="H47" s="6">
        <f t="shared" si="7"/>
        <v>1867.2804359888476</v>
      </c>
      <c r="I47">
        <f>1/(1+Inputs!$B$12/100)^A47</f>
        <v>8.162962353864732E-2</v>
      </c>
      <c r="J47" s="6">
        <f>Inputs!$E$17*B47</f>
        <v>1938.7406713867133</v>
      </c>
      <c r="K47" s="6">
        <f>Inputs!$E$19*(1+Inputs!$B$11/100)^43</f>
        <v>7334.700239585969</v>
      </c>
      <c r="L47" s="6">
        <f>IF(A47=0,0,IF(MOD(A47,Inputs!$E$21)=0,Inputs!$E$16*Inputs!$E$23,0))</f>
        <v>0</v>
      </c>
      <c r="M47" s="6">
        <f>J47+K47+L47+IF(A47=0,Inputs!$E$16,0)</f>
        <v>9273.4409109726821</v>
      </c>
      <c r="N47" s="6">
        <f t="shared" si="13"/>
        <v>309462.13474891579</v>
      </c>
      <c r="O47" s="6">
        <f t="shared" si="8"/>
        <v>756.98749047059073</v>
      </c>
      <c r="P47" s="7" t="e">
        <f>IF(A47&lt;=Inputs!$B$6,A47,NA())</f>
        <v>#N/A</v>
      </c>
      <c r="Q47" s="6" t="e">
        <f>IF(A47&lt;=Inputs!$B$6,G47,NA())</f>
        <v>#N/A</v>
      </c>
      <c r="R47" s="6" t="e">
        <f>IF(A47&lt;=Inputs!$B$6,N47,NA())</f>
        <v>#N/A</v>
      </c>
      <c r="S47" s="1" t="e">
        <f>IF(A47&lt;=Inputs!$B$6,G47,NA())</f>
        <v>#N/A</v>
      </c>
      <c r="T47" s="6" t="e">
        <f>IF(A47&lt;=Inputs!$B$6,N47,NA())</f>
        <v>#N/A</v>
      </c>
      <c r="U47" s="6" t="e">
        <f>IF(A47=Inputs!$B$6,(Inputs!$B$16*Inputs!$B$24/100),NA())</f>
        <v>#N/A</v>
      </c>
      <c r="V47" s="6" t="e">
        <f>IF(A47=Inputs!$B$6,(Inputs!$E$16*Inputs!$E$24/100),NA())</f>
        <v>#N/A</v>
      </c>
      <c r="W47" s="6" t="e">
        <f>W46+((J47+K47+L47+IF(A47=0,Inputs!$E$16,0))*P47)</f>
        <v>#N/A</v>
      </c>
      <c r="X47">
        <f t="shared" si="9"/>
        <v>296607.14519679628</v>
      </c>
      <c r="Y47" t="e">
        <f t="shared" si="10"/>
        <v>#N/A</v>
      </c>
      <c r="Z47" t="e">
        <f t="shared" si="11"/>
        <v>#N/A</v>
      </c>
    </row>
    <row r="48" spans="1:26">
      <c r="A48" s="4">
        <v>44</v>
      </c>
      <c r="B48" s="5">
        <f>Inputs!$B$9*(1+Inputs!$B$10/100)^44</f>
        <v>1.1014356820343709</v>
      </c>
      <c r="C48" s="6">
        <f>Inputs!$B$17*B48</f>
        <v>5094.1400294089653</v>
      </c>
      <c r="D48" s="6">
        <f>Inputs!$B$19*(1+Inputs!$B$11/100)^44</f>
        <v>18825.730614937318</v>
      </c>
      <c r="E48" s="6">
        <f>IF(A48=0,0,IF(MOD(A48,Inputs!$B$21)=0,Inputs!$B$16*Inputs!$B$23,0))</f>
        <v>0</v>
      </c>
      <c r="F48" s="6">
        <f>C48+D48+E48+IF(A48=0,Inputs!$B$16,0)</f>
        <v>23919.870644346283</v>
      </c>
      <c r="G48" s="6">
        <f t="shared" si="12"/>
        <v>629989.1505900583</v>
      </c>
      <c r="H48" s="6">
        <f t="shared" si="7"/>
        <v>1842.047203576536</v>
      </c>
      <c r="I48">
        <f>1/(1+Inputs!$B$12/100)^A48</f>
        <v>7.7009078810044637E-2</v>
      </c>
      <c r="J48" s="6">
        <f>Inputs!$E$17*B48</f>
        <v>1996.9028915283145</v>
      </c>
      <c r="K48" s="6">
        <f>Inputs!$E$19*(1+Inputs!$B$11/100)^44</f>
        <v>7701.4352515652663</v>
      </c>
      <c r="L48" s="6">
        <f>IF(A48=0,0,IF(MOD(A48,Inputs!$E$21)=0,Inputs!$E$16*Inputs!$E$23,0))</f>
        <v>0</v>
      </c>
      <c r="M48" s="6">
        <f>J48+K48+L48+IF(A48=0,Inputs!$E$16,0)</f>
        <v>9698.3381430935806</v>
      </c>
      <c r="N48" s="6">
        <f t="shared" si="13"/>
        <v>319160.47289200936</v>
      </c>
      <c r="O48" s="6">
        <f t="shared" si="8"/>
        <v>746.86008638795556</v>
      </c>
      <c r="P48" s="7" t="e">
        <f>IF(A48&lt;=Inputs!$B$6,A48,NA())</f>
        <v>#N/A</v>
      </c>
      <c r="Q48" s="6" t="e">
        <f>IF(A48&lt;=Inputs!$B$6,G48,NA())</f>
        <v>#N/A</v>
      </c>
      <c r="R48" s="6" t="e">
        <f>IF(A48&lt;=Inputs!$B$6,N48,NA())</f>
        <v>#N/A</v>
      </c>
      <c r="S48" s="1" t="e">
        <f>IF(A48&lt;=Inputs!$B$6,G48,NA())</f>
        <v>#N/A</v>
      </c>
      <c r="T48" s="6" t="e">
        <f>IF(A48&lt;=Inputs!$B$6,N48,NA())</f>
        <v>#N/A</v>
      </c>
      <c r="U48" s="6" t="e">
        <f>IF(A48=Inputs!$B$6,(Inputs!$B$16*Inputs!$B$24/100),NA())</f>
        <v>#N/A</v>
      </c>
      <c r="V48" s="6" t="e">
        <f>IF(A48=Inputs!$B$6,(Inputs!$E$16*Inputs!$E$24/100),NA())</f>
        <v>#N/A</v>
      </c>
      <c r="W48" s="6" t="e">
        <f>W47+((J48+K48+L48+IF(A48=0,Inputs!$E$16,0))*P48)</f>
        <v>#N/A</v>
      </c>
      <c r="X48">
        <f t="shared" si="9"/>
        <v>310828.67769804894</v>
      </c>
      <c r="Y48" t="e">
        <f t="shared" si="10"/>
        <v>#N/A</v>
      </c>
      <c r="Z48" t="e">
        <f t="shared" si="11"/>
        <v>#N/A</v>
      </c>
    </row>
    <row r="49" spans="1:26">
      <c r="A49" s="4">
        <v>45</v>
      </c>
      <c r="B49" s="5">
        <f>Inputs!$B$9*(1+Inputs!$B$10/100)^45</f>
        <v>1.1344787524954019</v>
      </c>
      <c r="C49" s="6">
        <f>Inputs!$B$17*B49</f>
        <v>5246.9642302912334</v>
      </c>
      <c r="D49" s="6">
        <f>Inputs!$B$19*(1+Inputs!$B$11/100)^45</f>
        <v>19767.017145684185</v>
      </c>
      <c r="E49" s="6">
        <f>IF(A49=0,0,IF(MOD(A49,Inputs!$B$21)=0,Inputs!$B$16*Inputs!$B$23,0))</f>
        <v>0</v>
      </c>
      <c r="F49" s="6">
        <f>C49+D49+E49+IF(A49=0,Inputs!$B$16,0)</f>
        <v>25013.981375975418</v>
      </c>
      <c r="G49" s="6">
        <f t="shared" si="12"/>
        <v>655003.13196603372</v>
      </c>
      <c r="H49" s="6">
        <f t="shared" si="7"/>
        <v>1817.2676067315847</v>
      </c>
      <c r="I49">
        <f>1/(1+Inputs!$B$12/100)^A49</f>
        <v>7.2650074349098717E-2</v>
      </c>
      <c r="J49" s="6">
        <f>Inputs!$E$17*B49</f>
        <v>2056.8099782741638</v>
      </c>
      <c r="K49" s="6">
        <f>Inputs!$E$19*(1+Inputs!$B$11/100)^45</f>
        <v>8086.5070141435308</v>
      </c>
      <c r="L49" s="6">
        <f>IF(A49=0,0,IF(MOD(A49,Inputs!$E$21)=0,Inputs!$E$16*Inputs!$E$23,0))</f>
        <v>0</v>
      </c>
      <c r="M49" s="6">
        <f>J49+K49+L49+IF(A49=0,Inputs!$E$16,0)</f>
        <v>10143.316992417695</v>
      </c>
      <c r="N49" s="6">
        <f t="shared" si="13"/>
        <v>329303.78988442704</v>
      </c>
      <c r="O49" s="6">
        <f t="shared" si="8"/>
        <v>736.91273364562187</v>
      </c>
      <c r="P49" s="7" t="e">
        <f>IF(A49&lt;=Inputs!$B$6,A49,NA())</f>
        <v>#N/A</v>
      </c>
      <c r="Q49" s="6" t="e">
        <f>IF(A49&lt;=Inputs!$B$6,G49,NA())</f>
        <v>#N/A</v>
      </c>
      <c r="R49" s="6" t="e">
        <f>IF(A49&lt;=Inputs!$B$6,N49,NA())</f>
        <v>#N/A</v>
      </c>
      <c r="S49" s="1" t="e">
        <f>IF(A49&lt;=Inputs!$B$6,G49,NA())</f>
        <v>#N/A</v>
      </c>
      <c r="T49" s="6" t="e">
        <f>IF(A49&lt;=Inputs!$B$6,N49,NA())</f>
        <v>#N/A</v>
      </c>
      <c r="U49" s="6" t="e">
        <f>IF(A49=Inputs!$B$6,(Inputs!$B$16*Inputs!$B$24/100),NA())</f>
        <v>#N/A</v>
      </c>
      <c r="V49" s="6" t="e">
        <f>IF(A49=Inputs!$B$6,(Inputs!$E$16*Inputs!$E$24/100),NA())</f>
        <v>#N/A</v>
      </c>
      <c r="W49" s="6" t="e">
        <f>W48+((J49+K49+L49+IF(A49=0,Inputs!$E$16,0))*P49)</f>
        <v>#N/A</v>
      </c>
      <c r="X49">
        <f t="shared" si="9"/>
        <v>325699.34208160668</v>
      </c>
      <c r="Y49" t="e">
        <f t="shared" si="10"/>
        <v>#N/A</v>
      </c>
      <c r="Z49" t="e">
        <f t="shared" si="11"/>
        <v>#N/A</v>
      </c>
    </row>
    <row r="50" spans="1:26">
      <c r="A50" s="4">
        <v>46</v>
      </c>
      <c r="B50" s="5">
        <f>Inputs!$B$9*(1+Inputs!$B$10/100)^46</f>
        <v>1.1685131150702641</v>
      </c>
      <c r="C50" s="6">
        <f>Inputs!$B$17*B50</f>
        <v>5404.3731571999715</v>
      </c>
      <c r="D50" s="6">
        <f>Inputs!$B$19*(1+Inputs!$B$11/100)^46</f>
        <v>20755.368002968393</v>
      </c>
      <c r="E50" s="6">
        <f>IF(A50=0,0,IF(MOD(A50,Inputs!$B$21)=0,Inputs!$B$16*Inputs!$B$23,0))</f>
        <v>0</v>
      </c>
      <c r="F50" s="6">
        <f>C50+D50+E50+IF(A50=0,Inputs!$B$16,0)</f>
        <v>26159.741160168363</v>
      </c>
      <c r="G50" s="6">
        <f t="shared" si="12"/>
        <v>681162.87312620203</v>
      </c>
      <c r="H50" s="6">
        <f t="shared" si="7"/>
        <v>1792.9312643768012</v>
      </c>
      <c r="I50">
        <f>1/(1+Inputs!$B$12/100)^A50</f>
        <v>6.8537805989715761E-2</v>
      </c>
      <c r="J50" s="6">
        <f>Inputs!$E$17*B50</f>
        <v>2118.5142776223888</v>
      </c>
      <c r="K50" s="6">
        <f>Inputs!$E$19*(1+Inputs!$B$11/100)^46</f>
        <v>8490.8323648507048</v>
      </c>
      <c r="L50" s="6">
        <f>IF(A50=0,0,IF(MOD(A50,Inputs!$E$21)=0,Inputs!$E$16*Inputs!$E$23,0))</f>
        <v>0</v>
      </c>
      <c r="M50" s="6">
        <f>J50+K50+L50+IF(A50=0,Inputs!$E$16,0)</f>
        <v>10609.346642473094</v>
      </c>
      <c r="N50" s="6">
        <f t="shared" si="13"/>
        <v>339913.13652690011</v>
      </c>
      <c r="O50" s="6">
        <f t="shared" si="8"/>
        <v>727.14134185946318</v>
      </c>
      <c r="P50" s="7" t="e">
        <f>IF(A50&lt;=Inputs!$B$6,A50,NA())</f>
        <v>#N/A</v>
      </c>
      <c r="Q50" s="6" t="e">
        <f>IF(A50&lt;=Inputs!$B$6,G50,NA())</f>
        <v>#N/A</v>
      </c>
      <c r="R50" s="6" t="e">
        <f>IF(A50&lt;=Inputs!$B$6,N50,NA())</f>
        <v>#N/A</v>
      </c>
      <c r="S50" s="1" t="e">
        <f>IF(A50&lt;=Inputs!$B$6,G50,NA())</f>
        <v>#N/A</v>
      </c>
      <c r="T50" s="6" t="e">
        <f>IF(A50&lt;=Inputs!$B$6,N50,NA())</f>
        <v>#N/A</v>
      </c>
      <c r="U50" s="6" t="e">
        <f>IF(A50=Inputs!$B$6,(Inputs!$B$16*Inputs!$B$24/100),NA())</f>
        <v>#N/A</v>
      </c>
      <c r="V50" s="6" t="e">
        <f>IF(A50=Inputs!$B$6,(Inputs!$E$16*Inputs!$E$24/100),NA())</f>
        <v>#N/A</v>
      </c>
      <c r="W50" s="6" t="e">
        <f>W49+((J50+K50+L50+IF(A50=0,Inputs!$E$16,0))*P50)</f>
        <v>#N/A</v>
      </c>
      <c r="X50">
        <f t="shared" si="9"/>
        <v>341249.73659930192</v>
      </c>
      <c r="Y50" t="e">
        <f t="shared" si="10"/>
        <v>#N/A</v>
      </c>
      <c r="Z50" t="e">
        <f t="shared" si="11"/>
        <v>#N/A</v>
      </c>
    </row>
    <row r="51" spans="1:26">
      <c r="A51" s="4">
        <v>47</v>
      </c>
      <c r="B51" s="5">
        <f>Inputs!$B$9*(1+Inputs!$B$10/100)^47</f>
        <v>1.2035685085223722</v>
      </c>
      <c r="C51" s="6">
        <f>Inputs!$B$17*B51</f>
        <v>5566.5043519159717</v>
      </c>
      <c r="D51" s="6">
        <f>Inputs!$B$19*(1+Inputs!$B$11/100)^47</f>
        <v>21793.136403116816</v>
      </c>
      <c r="E51" s="6">
        <f>IF(A51=0,0,IF(MOD(A51,Inputs!$B$21)=0,Inputs!$B$16*Inputs!$B$23,0))</f>
        <v>0</v>
      </c>
      <c r="F51" s="6">
        <f>C51+D51+E51+IF(A51=0,Inputs!$B$16,0)</f>
        <v>27359.640755032786</v>
      </c>
      <c r="G51" s="6">
        <f t="shared" si="12"/>
        <v>708522.5138812348</v>
      </c>
      <c r="H51" s="6">
        <f t="shared" si="7"/>
        <v>1769.0280660535443</v>
      </c>
      <c r="I51">
        <f>1/(1+Inputs!$B$12/100)^A51</f>
        <v>6.465830753746768E-2</v>
      </c>
      <c r="J51" s="6">
        <f>Inputs!$E$17*B51</f>
        <v>2182.0697059510608</v>
      </c>
      <c r="K51" s="6">
        <f>Inputs!$E$19*(1+Inputs!$B$11/100)^47</f>
        <v>8915.3739830932427</v>
      </c>
      <c r="L51" s="6">
        <f>IF(A51=0,0,IF(MOD(A51,Inputs!$E$21)=0,Inputs!$E$16*Inputs!$E$23,0))</f>
        <v>0</v>
      </c>
      <c r="M51" s="6">
        <f>J51+K51+L51+IF(A51=0,Inputs!$E$16,0)</f>
        <v>11097.443689044303</v>
      </c>
      <c r="N51" s="6">
        <f t="shared" si="13"/>
        <v>351010.58021594444</v>
      </c>
      <c r="O51" s="6">
        <f t="shared" si="8"/>
        <v>717.54192692595643</v>
      </c>
      <c r="P51" s="7" t="e">
        <f>IF(A51&lt;=Inputs!$B$6,A51,NA())</f>
        <v>#N/A</v>
      </c>
      <c r="Q51" s="6" t="e">
        <f>IF(A51&lt;=Inputs!$B$6,G51,NA())</f>
        <v>#N/A</v>
      </c>
      <c r="R51" s="6" t="e">
        <f>IF(A51&lt;=Inputs!$B$6,N51,NA())</f>
        <v>#N/A</v>
      </c>
      <c r="S51" s="1" t="e">
        <f>IF(A51&lt;=Inputs!$B$6,G51,NA())</f>
        <v>#N/A</v>
      </c>
      <c r="T51" s="6" t="e">
        <f>IF(A51&lt;=Inputs!$B$6,N51,NA())</f>
        <v>#N/A</v>
      </c>
      <c r="U51" s="6" t="e">
        <f>IF(A51=Inputs!$B$6,(Inputs!$B$16*Inputs!$B$24/100),NA())</f>
        <v>#N/A</v>
      </c>
      <c r="V51" s="6" t="e">
        <f>IF(A51=Inputs!$B$6,(Inputs!$E$16*Inputs!$E$24/100),NA())</f>
        <v>#N/A</v>
      </c>
      <c r="W51" s="6" t="e">
        <f>W50+((J51+K51+L51+IF(A51=0,Inputs!$E$16,0))*P51)</f>
        <v>#N/A</v>
      </c>
      <c r="X51">
        <f t="shared" si="9"/>
        <v>357511.93366529036</v>
      </c>
      <c r="Y51" t="e">
        <f t="shared" si="10"/>
        <v>#N/A</v>
      </c>
      <c r="Z51" t="e">
        <f t="shared" si="11"/>
        <v>#N/A</v>
      </c>
    </row>
    <row r="52" spans="1:26">
      <c r="A52" s="4">
        <v>48</v>
      </c>
      <c r="B52" s="5">
        <f>Inputs!$B$9*(1+Inputs!$B$10/100)^48</f>
        <v>1.2396755637780432</v>
      </c>
      <c r="C52" s="6">
        <f>Inputs!$B$17*B52</f>
        <v>5733.4994824734495</v>
      </c>
      <c r="D52" s="6">
        <f>Inputs!$B$19*(1+Inputs!$B$11/100)^48</f>
        <v>22882.793223272656</v>
      </c>
      <c r="E52" s="6">
        <f>IF(A52=0,0,IF(MOD(A52,Inputs!$B$21)=0,Inputs!$B$16*Inputs!$B$23,0))</f>
        <v>0</v>
      </c>
      <c r="F52" s="6">
        <f>C52+D52+E52+IF(A52=0,Inputs!$B$16,0)</f>
        <v>28616.292705746106</v>
      </c>
      <c r="G52" s="6">
        <f t="shared" si="12"/>
        <v>737138.80658698094</v>
      </c>
      <c r="H52" s="6">
        <f t="shared" si="7"/>
        <v>1745.548164481439</v>
      </c>
      <c r="I52">
        <f>1/(1+Inputs!$B$12/100)^A52</f>
        <v>6.0998403337233678E-2</v>
      </c>
      <c r="J52" s="6">
        <f>Inputs!$E$17*B52</f>
        <v>2247.5317971295922</v>
      </c>
      <c r="K52" s="6">
        <f>Inputs!$E$19*(1+Inputs!$B$11/100)^48</f>
        <v>9361.1426822479043</v>
      </c>
      <c r="L52" s="6">
        <f>IF(A52=0,0,IF(MOD(A52,Inputs!$E$21)=0,Inputs!$E$16*Inputs!$E$23,0))</f>
        <v>0</v>
      </c>
      <c r="M52" s="6">
        <f>J52+K52+L52+IF(A52=0,Inputs!$E$16,0)</f>
        <v>11608.674479377496</v>
      </c>
      <c r="N52" s="6">
        <f t="shared" si="13"/>
        <v>362619.25469532196</v>
      </c>
      <c r="O52" s="6">
        <f t="shared" si="8"/>
        <v>708.11060810371964</v>
      </c>
      <c r="P52" s="7" t="e">
        <f>IF(A52&lt;=Inputs!$B$6,A52,NA())</f>
        <v>#N/A</v>
      </c>
      <c r="Q52" s="6" t="e">
        <f>IF(A52&lt;=Inputs!$B$6,G52,NA())</f>
        <v>#N/A</v>
      </c>
      <c r="R52" s="6" t="e">
        <f>IF(A52&lt;=Inputs!$B$6,N52,NA())</f>
        <v>#N/A</v>
      </c>
      <c r="S52" s="1" t="e">
        <f>IF(A52&lt;=Inputs!$B$6,G52,NA())</f>
        <v>#N/A</v>
      </c>
      <c r="T52" s="6" t="e">
        <f>IF(A52&lt;=Inputs!$B$6,N52,NA())</f>
        <v>#N/A</v>
      </c>
      <c r="U52" s="6" t="e">
        <f>IF(A52=Inputs!$B$6,(Inputs!$B$16*Inputs!$B$24/100),NA())</f>
        <v>#N/A</v>
      </c>
      <c r="V52" s="6" t="e">
        <f>IF(A52=Inputs!$B$6,(Inputs!$E$16*Inputs!$E$24/100),NA())</f>
        <v>#N/A</v>
      </c>
      <c r="W52" s="6" t="e">
        <f>W51+((J52+K52+L52+IF(A52=0,Inputs!$E$16,0))*P52)</f>
        <v>#N/A</v>
      </c>
      <c r="X52">
        <f t="shared" si="9"/>
        <v>374519.55189165898</v>
      </c>
      <c r="Y52" t="e">
        <f t="shared" si="10"/>
        <v>#N/A</v>
      </c>
      <c r="Z52" t="e">
        <f t="shared" si="11"/>
        <v>#N/A</v>
      </c>
    </row>
    <row r="53" spans="1:26">
      <c r="A53" s="4">
        <v>49</v>
      </c>
      <c r="B53" s="5">
        <f>Inputs!$B$9*(1+Inputs!$B$10/100)^49</f>
        <v>1.2768658306913843</v>
      </c>
      <c r="C53" s="6">
        <f>Inputs!$B$17*B53</f>
        <v>5905.504466947652</v>
      </c>
      <c r="D53" s="6">
        <f>Inputs!$B$19*(1+Inputs!$B$11/100)^49</f>
        <v>24026.93288443629</v>
      </c>
      <c r="E53" s="6">
        <f>IF(A53=0,0,IF(MOD(A53,Inputs!$B$21)=0,Inputs!$B$16*Inputs!$B$23,0))</f>
        <v>0</v>
      </c>
      <c r="F53" s="6">
        <f>C53+D53+E53+IF(A53=0,Inputs!$B$16,0)</f>
        <v>29932.437351383942</v>
      </c>
      <c r="G53" s="6">
        <f t="shared" si="12"/>
        <v>767071.2439383649</v>
      </c>
      <c r="H53" s="6">
        <f t="shared" si="7"/>
        <v>1722.4819683265998</v>
      </c>
      <c r="I53">
        <f>1/(1+Inputs!$B$12/100)^A53</f>
        <v>5.7545663525692139E-2</v>
      </c>
      <c r="J53" s="6">
        <f>Inputs!$E$17*B53</f>
        <v>2314.9577510434797</v>
      </c>
      <c r="K53" s="6">
        <f>Inputs!$E$19*(1+Inputs!$B$11/100)^49</f>
        <v>9829.1998163603021</v>
      </c>
      <c r="L53" s="6">
        <f>IF(A53=0,0,IF(MOD(A53,Inputs!$E$21)=0,Inputs!$E$16*Inputs!$E$23,0))</f>
        <v>0</v>
      </c>
      <c r="M53" s="6">
        <f>J53+K53+L53+IF(A53=0,Inputs!$E$16,0)</f>
        <v>12144.157567403781</v>
      </c>
      <c r="N53" s="6">
        <f t="shared" si="13"/>
        <v>374763.41226272576</v>
      </c>
      <c r="O53" s="6">
        <f t="shared" si="8"/>
        <v>698.84360517680591</v>
      </c>
      <c r="P53" s="7" t="e">
        <f>IF(A53&lt;=Inputs!$B$6,A53,NA())</f>
        <v>#N/A</v>
      </c>
      <c r="Q53" s="6" t="e">
        <f>IF(A53&lt;=Inputs!$B$6,G53,NA())</f>
        <v>#N/A</v>
      </c>
      <c r="R53" s="6" t="e">
        <f>IF(A53&lt;=Inputs!$B$6,N53,NA())</f>
        <v>#N/A</v>
      </c>
      <c r="S53" s="1" t="e">
        <f>IF(A53&lt;=Inputs!$B$6,G53,NA())</f>
        <v>#N/A</v>
      </c>
      <c r="T53" s="6" t="e">
        <f>IF(A53&lt;=Inputs!$B$6,N53,NA())</f>
        <v>#N/A</v>
      </c>
      <c r="U53" s="6" t="e">
        <f>IF(A53=Inputs!$B$6,(Inputs!$B$16*Inputs!$B$24/100),NA())</f>
        <v>#N/A</v>
      </c>
      <c r="V53" s="6" t="e">
        <f>IF(A53=Inputs!$B$6,(Inputs!$E$16*Inputs!$E$24/100),NA())</f>
        <v>#N/A</v>
      </c>
      <c r="W53" s="6" t="e">
        <f>W52+((J53+K53+L53+IF(A53=0,Inputs!$E$16,0))*P53)</f>
        <v>#N/A</v>
      </c>
      <c r="X53">
        <f t="shared" si="9"/>
        <v>392307.83167563914</v>
      </c>
      <c r="Y53" t="e">
        <f t="shared" si="10"/>
        <v>#N/A</v>
      </c>
      <c r="Z53" t="e">
        <f t="shared" si="11"/>
        <v>#N/A</v>
      </c>
    </row>
    <row r="54" spans="1:26">
      <c r="A54" s="4">
        <v>50</v>
      </c>
      <c r="B54" s="5">
        <f>Inputs!$B$9*(1+Inputs!$B$10/100)^50</f>
        <v>1.3151718056121258</v>
      </c>
      <c r="C54" s="6">
        <f>Inputs!$B$17*B54</f>
        <v>6082.6696009560819</v>
      </c>
      <c r="D54" s="6">
        <f>Inputs!$B$19*(1+Inputs!$B$11/100)^50</f>
        <v>25228.279528658106</v>
      </c>
      <c r="E54" s="6">
        <f>IF(A54=0,0,IF(MOD(A54,Inputs!$B$21)=0,Inputs!$B$16*Inputs!$B$23,0))</f>
        <v>75000</v>
      </c>
      <c r="F54" s="6">
        <f>C54+D54+E54+IF(A54=0,Inputs!$B$16,0)</f>
        <v>106310.94912961419</v>
      </c>
      <c r="G54" s="6">
        <f t="shared" si="12"/>
        <v>873382.19306797907</v>
      </c>
      <c r="H54" s="6">
        <f t="shared" si="7"/>
        <v>5771.4472714242947</v>
      </c>
      <c r="I54">
        <f>1/(1+Inputs!$B$12/100)^A54</f>
        <v>5.4288361816690701E-2</v>
      </c>
      <c r="J54" s="6">
        <f>Inputs!$E$17*B54</f>
        <v>2384.406483574784</v>
      </c>
      <c r="K54" s="6">
        <f>Inputs!$E$19*(1+Inputs!$B$11/100)^50</f>
        <v>10320.659807178316</v>
      </c>
      <c r="L54" s="6">
        <f>IF(A54=0,0,IF(MOD(A54,Inputs!$E$21)=0,Inputs!$E$16*Inputs!$E$23,0))</f>
        <v>0</v>
      </c>
      <c r="M54" s="6">
        <f>J54+K54+L54+IF(A54=0,Inputs!$E$16,0)</f>
        <v>12705.0662907531</v>
      </c>
      <c r="N54" s="6">
        <f t="shared" si="13"/>
        <v>387468.47855347884</v>
      </c>
      <c r="O54" s="6">
        <f t="shared" si="8"/>
        <v>689.73723569744482</v>
      </c>
      <c r="P54" s="7" t="e">
        <f>IF(A54&lt;=Inputs!$B$6,A54,NA())</f>
        <v>#N/A</v>
      </c>
      <c r="Q54" s="6" t="e">
        <f>IF(A54&lt;=Inputs!$B$6,G54,NA())</f>
        <v>#N/A</v>
      </c>
      <c r="R54" s="6" t="e">
        <f>IF(A54&lt;=Inputs!$B$6,N54,NA())</f>
        <v>#N/A</v>
      </c>
      <c r="S54" s="1" t="e">
        <f>IF(A54&lt;=Inputs!$B$6,G54,NA())</f>
        <v>#N/A</v>
      </c>
      <c r="T54" s="6" t="e">
        <f>IF(A54&lt;=Inputs!$B$6,N54,NA())</f>
        <v>#N/A</v>
      </c>
      <c r="U54" s="6" t="e">
        <f>IF(A54=Inputs!$B$6,(Inputs!$B$16*Inputs!$B$24/100),NA())</f>
        <v>#N/A</v>
      </c>
      <c r="V54" s="6" t="e">
        <f>IF(A54=Inputs!$B$6,(Inputs!$E$16*Inputs!$E$24/100),NA())</f>
        <v>#N/A</v>
      </c>
      <c r="W54" s="6" t="e">
        <f>W53+((J54+K54+L54+IF(A54=0,Inputs!$E$16,0))*P54)</f>
        <v>#N/A</v>
      </c>
      <c r="X54">
        <f t="shared" si="9"/>
        <v>485913.71451450023</v>
      </c>
      <c r="Y54" t="e">
        <f t="shared" si="10"/>
        <v>#N/A</v>
      </c>
      <c r="Z54" t="e">
        <f t="shared" si="11"/>
        <v>#N/A</v>
      </c>
    </row>
    <row r="57" spans="1:26">
      <c r="A57" s="59" t="s">
        <v>80</v>
      </c>
      <c r="B57" s="56"/>
      <c r="J57" s="2" t="s">
        <v>81</v>
      </c>
      <c r="K57" s="2" t="s">
        <v>82</v>
      </c>
      <c r="L57" s="2" t="s">
        <v>83</v>
      </c>
      <c r="Q57" s="2" t="s">
        <v>84</v>
      </c>
      <c r="R57" s="2" t="s">
        <v>85</v>
      </c>
      <c r="S57" s="2" t="s">
        <v>86</v>
      </c>
    </row>
    <row r="58" spans="1:26">
      <c r="J58" s="3">
        <f ca="1">T58-(Inputs!$B$16*Inputs!$B$24/100)</f>
        <v>185870.97791923644</v>
      </c>
      <c r="K58" s="3">
        <f ca="1">J58/(Inputs!$B$6*12)</f>
        <v>774.46240799681846</v>
      </c>
      <c r="L58" s="3">
        <f ca="1">V58-((Inputs!$B$16*Inputs!$B$24/100)/(1+Inputs!$B$12/100)^Inputs!$B$6)</f>
        <v>136950.42789329321</v>
      </c>
      <c r="Q58" s="3">
        <f ca="1">U58-(Inputs!$E$16*Inputs!$E$24/100)</f>
        <v>110244.46721232272</v>
      </c>
      <c r="R58" s="3">
        <f ca="1">Q58/(Inputs!$B$6*12)</f>
        <v>459.35194671801133</v>
      </c>
      <c r="S58" s="3">
        <f ca="1">W58-((Inputs!$E$16*Inputs!$E$24/100)/(1+Inputs!$B$12/100)^Inputs!$B$6)</f>
        <v>131432.85529548328</v>
      </c>
      <c r="T58" s="3">
        <f ca="1">SUM(OFFSET(F4,0,0,Inputs!$B$6+1,1))</f>
        <v>193370.97791923644</v>
      </c>
      <c r="U58" s="3">
        <f ca="1">SUM(OFFSET(M4,0,0,Inputs!$B$6+1,1))</f>
        <v>172744.46721232272</v>
      </c>
      <c r="V58" s="3">
        <f ca="1">SUMPRODUCT(OFFSET(F4,0,0,Inputs!$B$6+1,1),OFFSET(I4,0,0,Inputs!$B$6+1,1))</f>
        <v>139288.96334493885</v>
      </c>
      <c r="W58" s="3">
        <f ca="1">SUMPRODUCT(OFFSET(M4,0,0,Inputs!$B$6+1,1),OFFSET(I4,0,0,Inputs!$B$6+1,1))</f>
        <v>150920.65072586355</v>
      </c>
    </row>
  </sheetData>
  <mergeCells count="2">
    <mergeCell ref="A57:B57"/>
    <mergeCell ref="A1:S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Uitleg</vt:lpstr>
      <vt:lpstr>Inputs</vt:lpstr>
      <vt:lpstr>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Luc de Wit</cp:lastModifiedBy>
  <dcterms:created xsi:type="dcterms:W3CDTF">2026-03-02T15:32:23Z</dcterms:created>
  <dcterms:modified xsi:type="dcterms:W3CDTF">2026-03-03T11:29:21Z</dcterms:modified>
</cp:coreProperties>
</file>